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filterPrivacy="1" defaultThemeVersion="124226"/>
  <xr:revisionPtr revIDLastSave="0" documentId="13_ncr:1_{E3377997-CB90-4135-94B4-886DCEE09A0C}" xr6:coauthVersionLast="45" xr6:coauthVersionMax="45" xr10:uidLastSave="{00000000-0000-0000-0000-000000000000}"/>
  <bookViews>
    <workbookView xWindow="-120" yWindow="-120" windowWidth="24240" windowHeight="13140" tabRatio="776" activeTab="12" xr2:uid="{00000000-000D-0000-FFFF-FFFF00000000}"/>
  </bookViews>
  <sheets>
    <sheet name="لوحة الإدخال الرئيسية" sheetId="18" r:id="rId1"/>
    <sheet name="حساب قطر الأنابيب" sheetId="15" r:id="rId2"/>
    <sheet name="ضياعات الاحتكاك الطولية" sheetId="4" r:id="rId3"/>
    <sheet name="ضياعات الاحتكاك المحلية" sheetId="5" r:id="rId4"/>
    <sheet name="حسابات الضخ" sheetId="1" r:id="rId5"/>
    <sheet name="نقطة العمل" sheetId="17" r:id="rId6"/>
    <sheet name="حساب NPSHa" sheetId="19" r:id="rId7"/>
    <sheet name="حساب مقطع الكابل" sheetId="3" r:id="rId8"/>
    <sheet name="محول الواحدات" sheetId="14" r:id="rId9"/>
    <sheet name="كلفة التشغيل الشهرية" sheetId="8" r:id="rId10"/>
    <sheet name="دراسة الجدوى" sheetId="6" r:id="rId11"/>
    <sheet name="حساب التيار" sheetId="2" r:id="rId12"/>
    <sheet name="الطاقة الشمسية" sheetId="11" r:id="rId13"/>
    <sheet name="حسابات الجباية" sheetId="13" r:id="rId14"/>
    <sheet name="تنفيذ الشبكات" sheetId="16" r:id="rId15"/>
  </sheets>
  <definedNames>
    <definedName name="_Order1" hidden="1">255</definedName>
    <definedName name="_Order2" hidden="1">255</definedName>
    <definedName name="HEADDAYA3" localSheetId="5">#REF!,#REF!,#REF!,#REF!,#REF!,#REF!,#REF!,#REF!,#REF!,#REF!,#REF!,#REF!,#REF!</definedName>
    <definedName name="HEADDAYA3">#REF!,#REF!,#REF!,#REF!,#REF!,#REF!,#REF!,#REF!,#REF!,#REF!,#REF!,#REF!,#REF!</definedName>
    <definedName name="HEADDAYA4" localSheetId="5">#REF!,#REF!,#REF!,#REF!,#REF!,#REF!,#REF!,#REF!,#REF!,#REF!,#REF!,#REF!,#REF!,#REF!,#REF!,#REF!,#REF!</definedName>
    <definedName name="HEADDAYA4">#REF!,#REF!,#REF!,#REF!,#REF!,#REF!,#REF!,#REF!,#REF!,#REF!,#REF!,#REF!,#REF!,#REF!,#REF!,#REF!,#REF!</definedName>
    <definedName name="HEADWEEKA3" localSheetId="5">#REF!,#REF!,#REF!,#REF!,#REF!,#REF!,#REF!,#REF!,#REF!,#REF!,#REF!,#REF!</definedName>
    <definedName name="HEADWEEKA3">#REF!,#REF!,#REF!,#REF!,#REF!,#REF!,#REF!,#REF!,#REF!,#REF!,#REF!,#REF!</definedName>
    <definedName name="HEADWEEKA4">#REF!,#REF!,#REF!,#REF!,#REF!,#REF!,#REF!,#REF!,#REF!,#REF!,#REF!,#REF!</definedName>
    <definedName name="_xlnm.Print_Area" localSheetId="7">'حساب مقطع الكابل'!$A$1:$N$16</definedName>
    <definedName name="_xlnm.Print_Area" localSheetId="13">'حسابات الجباية'!$A$1:$H$36</definedName>
    <definedName name="_xlnm.Print_Area" localSheetId="3">'ضياعات الاحتكاك المحلية'!$B$1:$J$3</definedName>
    <definedName name="_xlnm.Print_Area" localSheetId="8">'محول الواحدات'!$A$1:$U$21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18" l="1"/>
  <c r="C30" i="18"/>
  <c r="C24" i="18"/>
  <c r="C21" i="18"/>
  <c r="C20" i="18"/>
  <c r="D4" i="1" l="1"/>
  <c r="D3" i="15"/>
  <c r="C7" i="4" l="1"/>
  <c r="E21" i="17" l="1"/>
  <c r="F21" i="17"/>
  <c r="G21" i="17"/>
  <c r="H21" i="17"/>
  <c r="I21" i="17"/>
  <c r="J21" i="17"/>
  <c r="K21" i="17"/>
  <c r="L21" i="17"/>
  <c r="L23" i="17" s="1"/>
  <c r="M21" i="17"/>
  <c r="M23" i="17" s="1"/>
  <c r="N21" i="17"/>
  <c r="N23" i="17"/>
  <c r="C29" i="19" l="1"/>
  <c r="C8" i="4" l="1"/>
  <c r="C6" i="4"/>
  <c r="E21" i="19" l="1"/>
  <c r="E22" i="19"/>
  <c r="E23" i="19"/>
  <c r="C46" i="19"/>
  <c r="E19" i="19"/>
  <c r="E20" i="19"/>
  <c r="C48" i="19"/>
  <c r="E18" i="19"/>
  <c r="E24" i="19" l="1"/>
  <c r="C44" i="19" s="1"/>
  <c r="C49" i="19"/>
  <c r="C47" i="19"/>
  <c r="C52" i="19" s="1"/>
  <c r="C60" i="19" l="1"/>
  <c r="C31" i="19" s="1"/>
  <c r="C54" i="19"/>
  <c r="C53" i="19"/>
  <c r="C55" i="19"/>
  <c r="J17" i="19"/>
  <c r="J16" i="19"/>
  <c r="J15" i="19"/>
  <c r="J14" i="19"/>
  <c r="J13" i="19"/>
  <c r="J12" i="19"/>
  <c r="J11" i="19"/>
  <c r="C9" i="19" s="1"/>
  <c r="J10" i="19"/>
  <c r="J9" i="19"/>
  <c r="J8" i="19"/>
  <c r="J7" i="19"/>
  <c r="J6" i="19"/>
  <c r="J5" i="19"/>
  <c r="C56" i="19" l="1"/>
  <c r="C57" i="19"/>
  <c r="C28" i="19" s="1"/>
  <c r="C30" i="19" s="1"/>
  <c r="C29" i="18" l="1"/>
  <c r="C22" i="18" l="1"/>
  <c r="C23" i="18" s="1"/>
  <c r="C25" i="18" s="1"/>
  <c r="D6" i="17"/>
  <c r="D20" i="17" s="1"/>
  <c r="D4" i="17"/>
  <c r="D3" i="17"/>
  <c r="D7" i="17" l="1"/>
  <c r="D19" i="17" s="1"/>
  <c r="I19" i="17" s="1"/>
  <c r="D37" i="17"/>
  <c r="K23" i="17"/>
  <c r="J23" i="17"/>
  <c r="I23" i="17"/>
  <c r="H23" i="17"/>
  <c r="G23" i="17"/>
  <c r="F23" i="17"/>
  <c r="E23" i="17"/>
  <c r="D21" i="17"/>
  <c r="D23" i="17" s="1"/>
  <c r="K20" i="17"/>
  <c r="J20" i="17"/>
  <c r="I20" i="17"/>
  <c r="H20" i="17"/>
  <c r="G20" i="17"/>
  <c r="N20" i="17" s="1"/>
  <c r="F20" i="17"/>
  <c r="M20" i="17" s="1"/>
  <c r="E20" i="17"/>
  <c r="L20" i="17" s="1"/>
  <c r="F37" i="17" l="1"/>
  <c r="K37" i="17" s="1"/>
  <c r="F19" i="17"/>
  <c r="M19" i="17" s="1"/>
  <c r="J19" i="17"/>
  <c r="G37" i="17"/>
  <c r="L37" i="17" s="1"/>
  <c r="G19" i="17"/>
  <c r="N19" i="17" s="1"/>
  <c r="K19" i="17"/>
  <c r="H37" i="17"/>
  <c r="M37" i="17" s="1"/>
  <c r="H19" i="17"/>
  <c r="E37" i="17"/>
  <c r="I37" i="17"/>
  <c r="N37" i="17" s="1"/>
  <c r="E19" i="17"/>
  <c r="L19" i="17" s="1"/>
  <c r="J37" i="17" l="1"/>
  <c r="G10" i="3"/>
  <c r="D21" i="1" l="1"/>
  <c r="C32" i="18"/>
  <c r="D5" i="15" l="1"/>
  <c r="C7" i="16"/>
  <c r="C5" i="16"/>
  <c r="C8" i="16" s="1"/>
  <c r="D6" i="15" l="1"/>
  <c r="D7" i="15" s="1"/>
  <c r="D8" i="15" s="1"/>
  <c r="D9" i="15" s="1"/>
  <c r="C9" i="16"/>
  <c r="C10" i="16" s="1"/>
  <c r="C11" i="16" s="1"/>
  <c r="CU14" i="14"/>
  <c r="CU13" i="14"/>
  <c r="CU12" i="14"/>
  <c r="DZ3" i="14"/>
  <c r="EA3" i="14" s="1"/>
  <c r="DT3" i="14"/>
  <c r="DU3" i="14" s="1"/>
  <c r="DN3" i="14"/>
  <c r="DO3" i="14" s="1"/>
  <c r="DH3" i="14"/>
  <c r="DI3" i="14" s="1"/>
  <c r="DH4" i="14" s="1"/>
  <c r="DB3" i="14"/>
  <c r="DC3" i="14" s="1"/>
  <c r="CV3" i="14"/>
  <c r="CW3" i="14" s="1"/>
  <c r="CP3" i="14"/>
  <c r="CQ3" i="14" s="1"/>
  <c r="CP10" i="14" s="1"/>
  <c r="CJ3" i="14"/>
  <c r="CK3" i="14" s="1"/>
  <c r="CJ6" i="14" s="1"/>
  <c r="CD3" i="14"/>
  <c r="CE3" i="14" s="1"/>
  <c r="BX3" i="14"/>
  <c r="BY3" i="14" s="1"/>
  <c r="BR3" i="14"/>
  <c r="BS3" i="14" s="1"/>
  <c r="BL3" i="14"/>
  <c r="BM3" i="14" s="1"/>
  <c r="BL11" i="14" s="1"/>
  <c r="BF3" i="14"/>
  <c r="BG3" i="14" s="1"/>
  <c r="AZ3" i="14"/>
  <c r="BA3" i="14" s="1"/>
  <c r="AZ5" i="14" s="1"/>
  <c r="AT3" i="14"/>
  <c r="AU3" i="14" s="1"/>
  <c r="AT10" i="14" s="1"/>
  <c r="AN3" i="14"/>
  <c r="AO3" i="14" s="1"/>
  <c r="AN8" i="14" s="1"/>
  <c r="AH3" i="14"/>
  <c r="AI3" i="14" s="1"/>
  <c r="AB3" i="14"/>
  <c r="AC3" i="14" s="1"/>
  <c r="D5" i="17" l="1"/>
  <c r="D22" i="17" s="1"/>
  <c r="J22" i="17" s="1"/>
  <c r="J24" i="17" s="1"/>
  <c r="J35" i="17" s="1"/>
  <c r="C10" i="4"/>
  <c r="D10" i="15"/>
  <c r="D11" i="15" s="1"/>
  <c r="D12" i="15" s="1"/>
  <c r="H22" i="17"/>
  <c r="H24" i="17" s="1"/>
  <c r="H27" i="17" s="1"/>
  <c r="I22" i="17"/>
  <c r="I24" i="17" s="1"/>
  <c r="I27" i="17" s="1"/>
  <c r="E22" i="17"/>
  <c r="L22" i="17" s="1"/>
  <c r="L24" i="17" s="1"/>
  <c r="DH8" i="14"/>
  <c r="AN11" i="14"/>
  <c r="BL4" i="14"/>
  <c r="CJ4" i="14"/>
  <c r="AN6" i="14"/>
  <c r="E12" i="14" s="1"/>
  <c r="BL6" i="14"/>
  <c r="CJ8" i="14"/>
  <c r="O4" i="14" s="1"/>
  <c r="AB10" i="14"/>
  <c r="AB12" i="14"/>
  <c r="AB11" i="14"/>
  <c r="AB8" i="14"/>
  <c r="AB6" i="14"/>
  <c r="AB4" i="14"/>
  <c r="BX14" i="14"/>
  <c r="J20" i="14" s="1"/>
  <c r="BX12" i="14"/>
  <c r="BX10" i="14"/>
  <c r="BX11" i="14"/>
  <c r="BX8" i="14"/>
  <c r="BX6" i="14"/>
  <c r="BX4" i="14"/>
  <c r="BX13" i="14"/>
  <c r="CV14" i="14"/>
  <c r="CV8" i="14"/>
  <c r="CV6" i="14"/>
  <c r="CV4" i="14"/>
  <c r="CV11" i="14"/>
  <c r="CV10" i="14"/>
  <c r="DT8" i="14"/>
  <c r="T8" i="14" s="1"/>
  <c r="DT6" i="14"/>
  <c r="DT4" i="14"/>
  <c r="AB7" i="14"/>
  <c r="DT7" i="14"/>
  <c r="BX9" i="14"/>
  <c r="BF15" i="14"/>
  <c r="BF14" i="14"/>
  <c r="BF11" i="14"/>
  <c r="BF8" i="14"/>
  <c r="BF6" i="14"/>
  <c r="BF4" i="14"/>
  <c r="BF13" i="14"/>
  <c r="BF9" i="14"/>
  <c r="BF7" i="14"/>
  <c r="BF12" i="14"/>
  <c r="BF10" i="14"/>
  <c r="BF5" i="14"/>
  <c r="DB8" i="14"/>
  <c r="DB6" i="14"/>
  <c r="O16" i="14" s="1"/>
  <c r="DB4" i="14"/>
  <c r="DB7" i="14"/>
  <c r="DB5" i="14"/>
  <c r="BX5" i="14"/>
  <c r="CV5" i="14"/>
  <c r="BX7" i="14"/>
  <c r="AB9" i="14"/>
  <c r="E4" i="14" s="1"/>
  <c r="CV13" i="14"/>
  <c r="AZ13" i="14"/>
  <c r="AZ15" i="14"/>
  <c r="AZ14" i="14"/>
  <c r="AZ11" i="14"/>
  <c r="E20" i="14" s="1"/>
  <c r="AZ8" i="14"/>
  <c r="AZ6" i="14"/>
  <c r="AZ4" i="14"/>
  <c r="AZ12" i="14"/>
  <c r="AZ10" i="14"/>
  <c r="AH12" i="14"/>
  <c r="AH11" i="14"/>
  <c r="AH8" i="14"/>
  <c r="E8" i="14" s="1"/>
  <c r="AH6" i="14"/>
  <c r="AH4" i="14"/>
  <c r="AH5" i="14"/>
  <c r="AH14" i="14"/>
  <c r="AH13" i="14"/>
  <c r="AH10" i="14"/>
  <c r="AH9" i="14"/>
  <c r="AH7" i="14"/>
  <c r="CD11" i="14"/>
  <c r="CD8" i="14"/>
  <c r="CD6" i="14"/>
  <c r="CD4" i="14"/>
  <c r="CD7" i="14"/>
  <c r="CD5" i="14"/>
  <c r="CD15" i="14"/>
  <c r="J16" i="14" s="1"/>
  <c r="CD14" i="14"/>
  <c r="CD12" i="14"/>
  <c r="CD10" i="14"/>
  <c r="CD13" i="14"/>
  <c r="CD9" i="14"/>
  <c r="DZ8" i="14"/>
  <c r="T12" i="14" s="1"/>
  <c r="DZ6" i="14"/>
  <c r="DZ4" i="14"/>
  <c r="DZ5" i="14"/>
  <c r="DZ7" i="14"/>
  <c r="AZ7" i="14"/>
  <c r="CV9" i="14"/>
  <c r="O12" i="14" s="1"/>
  <c r="CV12" i="14"/>
  <c r="AN10" i="14"/>
  <c r="AN9" i="14"/>
  <c r="AN7" i="14"/>
  <c r="AN5" i="14"/>
  <c r="BL12" i="14"/>
  <c r="BL10" i="14"/>
  <c r="BL13" i="14"/>
  <c r="BL9" i="14"/>
  <c r="BL7" i="14"/>
  <c r="J8" i="14" s="1"/>
  <c r="BL5" i="14"/>
  <c r="CJ12" i="14"/>
  <c r="CJ10" i="14"/>
  <c r="CJ9" i="14"/>
  <c r="CJ7" i="14"/>
  <c r="CJ5" i="14"/>
  <c r="DH7" i="14"/>
  <c r="DH5" i="14"/>
  <c r="AT13" i="14"/>
  <c r="AT9" i="14"/>
  <c r="AT7" i="14"/>
  <c r="AT5" i="14"/>
  <c r="E16" i="14" s="1"/>
  <c r="AT4" i="14"/>
  <c r="AT15" i="14"/>
  <c r="AT14" i="14"/>
  <c r="AT11" i="14"/>
  <c r="AT8" i="14"/>
  <c r="AT6" i="14"/>
  <c r="AT16" i="14"/>
  <c r="AT12" i="14"/>
  <c r="AT17" i="14"/>
  <c r="BR13" i="14"/>
  <c r="BR9" i="14"/>
  <c r="BR7" i="14"/>
  <c r="J12" i="14" s="1"/>
  <c r="BR5" i="14"/>
  <c r="BR8" i="14"/>
  <c r="BR6" i="14"/>
  <c r="BR14" i="14"/>
  <c r="BR12" i="14"/>
  <c r="BR11" i="14"/>
  <c r="BR4" i="14"/>
  <c r="CP9" i="14"/>
  <c r="CP7" i="14"/>
  <c r="CP5" i="14"/>
  <c r="CP4" i="14"/>
  <c r="CP8" i="14"/>
  <c r="O8" i="14" s="1"/>
  <c r="CP6" i="14"/>
  <c r="DN7" i="14"/>
  <c r="DN5" i="14"/>
  <c r="DN8" i="14"/>
  <c r="T4" i="14" s="1"/>
  <c r="DN6" i="14"/>
  <c r="DN4" i="14"/>
  <c r="AN4" i="14"/>
  <c r="AB5" i="14"/>
  <c r="DT5" i="14"/>
  <c r="DH6" i="14"/>
  <c r="O20" i="14" s="1"/>
  <c r="CV7" i="14"/>
  <c r="BL8" i="14"/>
  <c r="AZ9" i="14"/>
  <c r="BR10" i="14"/>
  <c r="CJ11" i="14"/>
  <c r="E47" i="13"/>
  <c r="H47" i="13" s="1"/>
  <c r="I47" i="13" s="1"/>
  <c r="H46" i="13"/>
  <c r="E46" i="13"/>
  <c r="I40" i="13"/>
  <c r="H40" i="13"/>
  <c r="F40" i="13"/>
  <c r="E40" i="13"/>
  <c r="I39" i="13"/>
  <c r="K39" i="13" s="1"/>
  <c r="H39" i="13"/>
  <c r="J39" i="13" s="1"/>
  <c r="I38" i="13"/>
  <c r="K38" i="13" s="1"/>
  <c r="H38" i="13"/>
  <c r="J38" i="13" s="1"/>
  <c r="I37" i="13"/>
  <c r="K37" i="13" s="1"/>
  <c r="H37" i="13"/>
  <c r="J37" i="13" s="1"/>
  <c r="K36" i="13"/>
  <c r="J36" i="13"/>
  <c r="E32" i="13"/>
  <c r="F31" i="13"/>
  <c r="F30" i="13"/>
  <c r="F29" i="13"/>
  <c r="F28" i="13"/>
  <c r="F27" i="13"/>
  <c r="F26" i="13"/>
  <c r="F25" i="13"/>
  <c r="D15" i="13"/>
  <c r="D17" i="13" s="1"/>
  <c r="C60" i="13" s="1"/>
  <c r="D60" i="13" s="1"/>
  <c r="J27" i="17" l="1"/>
  <c r="J28" i="17" s="1"/>
  <c r="D24" i="17"/>
  <c r="D27" i="17" s="1"/>
  <c r="F22" i="17"/>
  <c r="M22" i="17" s="1"/>
  <c r="M24" i="17" s="1"/>
  <c r="M27" i="17" s="1"/>
  <c r="G22" i="17"/>
  <c r="G24" i="17" s="1"/>
  <c r="G35" i="17" s="1"/>
  <c r="K22" i="17"/>
  <c r="K24" i="17" s="1"/>
  <c r="K35" i="17" s="1"/>
  <c r="E48" i="13"/>
  <c r="J4" i="14"/>
  <c r="I35" i="17"/>
  <c r="L35" i="17"/>
  <c r="L27" i="17"/>
  <c r="H35" i="17"/>
  <c r="E24" i="17"/>
  <c r="H28" i="17"/>
  <c r="H30" i="17"/>
  <c r="H29" i="17"/>
  <c r="I28" i="17"/>
  <c r="I30" i="17"/>
  <c r="I29" i="17"/>
  <c r="D30" i="17"/>
  <c r="D28" i="17"/>
  <c r="D29" i="17"/>
  <c r="F32" i="13"/>
  <c r="C54" i="13" s="1"/>
  <c r="D54" i="13" s="1"/>
  <c r="D18" i="13"/>
  <c r="F46" i="13"/>
  <c r="F47" i="13"/>
  <c r="G47" i="13" s="1"/>
  <c r="J40" i="13"/>
  <c r="C55" i="13" s="1"/>
  <c r="D55" i="13" s="1"/>
  <c r="K40" i="13"/>
  <c r="C56" i="13" s="1"/>
  <c r="D56" i="13" s="1"/>
  <c r="H48" i="13"/>
  <c r="I46" i="13"/>
  <c r="I48" i="13" s="1"/>
  <c r="C58" i="13" s="1"/>
  <c r="D58" i="13" s="1"/>
  <c r="K27" i="17" l="1"/>
  <c r="K29" i="17" s="1"/>
  <c r="J29" i="17"/>
  <c r="M35" i="17"/>
  <c r="J30" i="17"/>
  <c r="J31" i="17" s="1"/>
  <c r="D35" i="17"/>
  <c r="N22" i="17"/>
  <c r="N24" i="17" s="1"/>
  <c r="N27" i="17" s="1"/>
  <c r="F24" i="17"/>
  <c r="F27" i="17" s="1"/>
  <c r="K28" i="17"/>
  <c r="L30" i="17"/>
  <c r="L29" i="17"/>
  <c r="L28" i="17"/>
  <c r="G27" i="17"/>
  <c r="G28" i="17" s="1"/>
  <c r="K30" i="17"/>
  <c r="K31" i="17" s="1"/>
  <c r="M29" i="17"/>
  <c r="M30" i="17"/>
  <c r="M28" i="17"/>
  <c r="E35" i="17"/>
  <c r="E27" i="17"/>
  <c r="H32" i="17"/>
  <c r="H38" i="17" s="1"/>
  <c r="H31" i="17"/>
  <c r="D32" i="17"/>
  <c r="D38" i="17" s="1"/>
  <c r="D40" i="17" s="1"/>
  <c r="D31" i="17"/>
  <c r="I31" i="17"/>
  <c r="I32" i="17"/>
  <c r="I38" i="17" s="1"/>
  <c r="F48" i="13"/>
  <c r="G46" i="13"/>
  <c r="G48" i="13" s="1"/>
  <c r="C57" i="13" s="1"/>
  <c r="D57" i="13" s="1"/>
  <c r="C59" i="13"/>
  <c r="J32" i="17" l="1"/>
  <c r="J38" i="17" s="1"/>
  <c r="N35" i="17"/>
  <c r="F35" i="17"/>
  <c r="K32" i="17"/>
  <c r="K38" i="17" s="1"/>
  <c r="K40" i="17" s="1"/>
  <c r="N4" i="17" s="1"/>
  <c r="N30" i="17"/>
  <c r="N28" i="17"/>
  <c r="N29" i="17"/>
  <c r="M32" i="17"/>
  <c r="M38" i="17" s="1"/>
  <c r="M40" i="17" s="1"/>
  <c r="P4" i="17" s="1"/>
  <c r="M31" i="17"/>
  <c r="L32" i="17"/>
  <c r="L38" i="17" s="1"/>
  <c r="L40" i="17" s="1"/>
  <c r="O4" i="17" s="1"/>
  <c r="L31" i="17"/>
  <c r="G29" i="17"/>
  <c r="G30" i="17"/>
  <c r="G32" i="17" s="1"/>
  <c r="G38" i="17" s="1"/>
  <c r="G40" i="17" s="1"/>
  <c r="J4" i="17" s="1"/>
  <c r="F29" i="17"/>
  <c r="F28" i="17"/>
  <c r="F30" i="17"/>
  <c r="E30" i="17"/>
  <c r="E29" i="17"/>
  <c r="E28" i="17"/>
  <c r="G4" i="17"/>
  <c r="I40" i="17"/>
  <c r="L4" i="17" s="1"/>
  <c r="J40" i="17"/>
  <c r="M4" i="17" s="1"/>
  <c r="H40" i="17"/>
  <c r="K4" i="17" s="1"/>
  <c r="D59" i="13"/>
  <c r="C63" i="13"/>
  <c r="D63" i="13" s="1"/>
  <c r="C61" i="13"/>
  <c r="D61" i="13" s="1"/>
  <c r="C62" i="13"/>
  <c r="D62" i="13" s="1"/>
  <c r="G31" i="17" l="1"/>
  <c r="N32" i="17"/>
  <c r="N38" i="17" s="1"/>
  <c r="N40" i="17" s="1"/>
  <c r="Q4" i="17" s="1"/>
  <c r="N31" i="17"/>
  <c r="E32" i="17"/>
  <c r="E38" i="17" s="1"/>
  <c r="E40" i="17" s="1"/>
  <c r="H4" i="17" s="1"/>
  <c r="E31" i="17"/>
  <c r="F31" i="17"/>
  <c r="F32" i="17"/>
  <c r="F38" i="17" s="1"/>
  <c r="F40" i="17" s="1"/>
  <c r="I4" i="17" s="1"/>
  <c r="C33" i="11"/>
  <c r="C11" i="11"/>
  <c r="C26" i="11" s="1"/>
  <c r="C10" i="11"/>
  <c r="C9" i="11"/>
  <c r="C8" i="11"/>
  <c r="C35" i="11" l="1"/>
  <c r="C36" i="11"/>
  <c r="C15" i="11"/>
  <c r="C16" i="11" s="1"/>
  <c r="C18" i="11" s="1"/>
  <c r="C19" i="11" s="1"/>
  <c r="C21" i="11" s="1"/>
  <c r="C30" i="11"/>
  <c r="C28" i="11"/>
  <c r="C34" i="11" s="1"/>
  <c r="C12" i="11"/>
  <c r="C22" i="11" l="1"/>
  <c r="C23" i="11" s="1"/>
  <c r="C37" i="11"/>
  <c r="C39" i="11" l="1"/>
  <c r="D16" i="2"/>
  <c r="F5" i="8" l="1"/>
  <c r="F6" i="8"/>
  <c r="F8" i="8"/>
  <c r="F9" i="8"/>
  <c r="F10" i="8"/>
  <c r="F11" i="8"/>
  <c r="F12" i="8"/>
  <c r="F4" i="8"/>
  <c r="F14" i="8" l="1"/>
  <c r="F26" i="6" l="1"/>
  <c r="F28" i="6" s="1"/>
  <c r="F29" i="6" s="1"/>
  <c r="F31" i="6" s="1"/>
  <c r="F7" i="6" l="1"/>
  <c r="F9" i="6" l="1"/>
  <c r="B7" i="6"/>
  <c r="B8" i="6" s="1"/>
  <c r="B11" i="6" s="1"/>
  <c r="F11" i="6" l="1"/>
  <c r="F14" i="6" s="1"/>
  <c r="F15" i="6" s="1"/>
  <c r="F17" i="6" s="1"/>
  <c r="C11" i="4" l="1"/>
  <c r="C9" i="4"/>
  <c r="C22" i="4" l="1"/>
  <c r="C14" i="4"/>
  <c r="C17" i="4" l="1"/>
  <c r="C18" i="4" s="1"/>
  <c r="C15" i="4"/>
  <c r="C16" i="4"/>
  <c r="C19" i="4" l="1"/>
  <c r="C14" i="18" s="1"/>
  <c r="C15" i="18" l="1"/>
  <c r="C16" i="18" s="1"/>
  <c r="D3" i="1" s="1"/>
  <c r="N31" i="1"/>
  <c r="D11" i="1" l="1"/>
  <c r="D12" i="1" s="1"/>
  <c r="D10" i="1"/>
  <c r="D8" i="1"/>
  <c r="D9" i="1" s="1"/>
  <c r="F5" i="3"/>
  <c r="I5" i="3"/>
  <c r="L5" i="3" s="1"/>
  <c r="F10" i="3"/>
  <c r="E10" i="3" l="1"/>
  <c r="I10" i="3" s="1"/>
  <c r="L10" i="3" s="1"/>
  <c r="D15" i="1"/>
  <c r="D17" i="1" s="1"/>
  <c r="C5" i="3"/>
  <c r="B5" i="3" s="1"/>
  <c r="C16" i="2"/>
  <c r="D15" i="2"/>
  <c r="D17" i="2" s="1"/>
  <c r="D18" i="2" s="1"/>
  <c r="D19" i="2" s="1"/>
  <c r="C15" i="2"/>
  <c r="C17" i="2" s="1"/>
  <c r="C10" i="3" l="1"/>
  <c r="B10" i="3" s="1"/>
  <c r="C18" i="2"/>
  <c r="C19" i="2" s="1"/>
  <c r="D18" i="1" l="1"/>
  <c r="D19" i="1" s="1"/>
  <c r="D20" i="1" s="1"/>
  <c r="D22" i="1" s="1"/>
  <c r="D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5" authorId="0" shapeId="0" xr:uid="{BA2D7885-4235-4F31-B9FE-0918248EE527}">
      <text>
        <r>
          <rPr>
            <b/>
            <sz val="10"/>
            <color indexed="81"/>
            <rFont val="Tahoma"/>
            <family val="2"/>
          </rPr>
          <t>Author:</t>
        </r>
        <r>
          <rPr>
            <sz val="10"/>
            <color indexed="81"/>
            <rFont val="Tahoma"/>
            <family val="2"/>
          </rPr>
          <t xml:space="preserve">
يمكن استخدام هذا الجدول لادخال البيانات لكامل البرنامج و يمكن استخدام الجداول الأخرى لحساب 
المتغيرات الجزئية
ملاحظة هامة : يفضل الاحتفاظ بالنسخة الأساسية للبرنامج بدون تعديل و حفظ الحسابات بملفات جديدة</t>
        </r>
      </text>
    </comment>
    <comment ref="C6" authorId="0" shapeId="0" xr:uid="{B1E5A7AF-0BE1-45B8-9027-2F890FCC6D07}">
      <text>
        <r>
          <rPr>
            <b/>
            <sz val="12"/>
            <color indexed="81"/>
            <rFont val="Tahoma"/>
            <family val="2"/>
          </rPr>
          <t>Author:</t>
        </r>
        <r>
          <rPr>
            <sz val="12"/>
            <color indexed="81"/>
            <rFont val="Tahoma"/>
            <family val="2"/>
          </rPr>
          <t xml:space="preserve">
قيم الخلايا باللون البرتقالي يتم إدخالها يدويا من قبل المستخدم  أما باقي الخلايا فيتم حسابها اتوماتيكيا من قبل البرنامج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3" authorId="0" shapeId="0" xr:uid="{202F4FF5-3862-41F1-B19E-2F343A1BD12A}">
      <text>
        <r>
          <rPr>
            <b/>
            <sz val="12"/>
            <color indexed="81"/>
            <rFont val="Tahoma"/>
            <family val="2"/>
          </rPr>
          <t>Author:</t>
        </r>
        <r>
          <rPr>
            <sz val="12"/>
            <color indexed="81"/>
            <rFont val="Tahoma"/>
            <family val="2"/>
          </rPr>
          <t xml:space="preserve">
قيم الخلايا باللون البرتقالي يتم إدخالها يدويا من قبل المستخدم  أما باقي الخلايا فيتم حسابها اتوماتيكيا من قبل البرنامج </t>
        </r>
      </text>
    </comment>
    <comment ref="D4" authorId="0" shapeId="0" xr:uid="{20B6BAED-0A34-48E5-88A0-67191E01E255}">
      <text>
        <r>
          <rPr>
            <b/>
            <sz val="12"/>
            <color indexed="81"/>
            <rFont val="Tahoma"/>
            <family val="2"/>
          </rPr>
          <t>Author:</t>
        </r>
        <r>
          <rPr>
            <sz val="12"/>
            <color indexed="81"/>
            <rFont val="Tahoma"/>
            <family val="2"/>
          </rPr>
          <t xml:space="preserve">
قيم الخلايا باللون البرتقالي يتم إدخالها يدويا من قبل المستخدم  أما باقي الخلايا فيتم حسابها اتوماتيكيا من قبل البرنامج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3" authorId="0" shapeId="0" xr:uid="{7614CFE2-0BA4-4B5D-806C-99377D54D742}">
      <text>
        <r>
          <rPr>
            <b/>
            <sz val="12"/>
            <color indexed="81"/>
            <rFont val="Tahoma"/>
            <family val="2"/>
          </rPr>
          <t>Author:</t>
        </r>
        <r>
          <rPr>
            <sz val="12"/>
            <color indexed="81"/>
            <rFont val="Tahoma"/>
            <family val="2"/>
          </rPr>
          <t xml:space="preserve">
قيم الخلايا باللون البرتقالي يتم إدخالها يدويا من قبل المستخدم  أما باقي الخلايا فيتم حسابها اتوماتيكيا من قبل البرنامج </t>
        </r>
      </text>
    </comment>
    <comment ref="D12" authorId="0" shapeId="0" xr:uid="{00000000-0006-0000-0000-000002000000}">
      <text>
        <r>
          <rPr>
            <b/>
            <sz val="9"/>
            <color indexed="81"/>
            <rFont val="Tahoma"/>
            <family val="2"/>
          </rPr>
          <t>ملاحظة :</t>
        </r>
        <r>
          <rPr>
            <sz val="9"/>
            <color indexed="81"/>
            <rFont val="Tahoma"/>
            <family val="2"/>
          </rPr>
          <t xml:space="preserve">
استطاعة المولدة في حالة استخدام نظام أقلاع اتو ترانس أو سوفت ستار</t>
        </r>
      </text>
    </comment>
    <comment ref="D15" authorId="0" shapeId="0" xr:uid="{DE3084EB-526D-47A6-A91C-FC4FDA868983}">
      <text>
        <r>
          <rPr>
            <b/>
            <sz val="9"/>
            <color indexed="81"/>
            <rFont val="Tahoma"/>
            <family val="2"/>
          </rPr>
          <t>Author:</t>
        </r>
        <r>
          <rPr>
            <sz val="9"/>
            <color indexed="81"/>
            <rFont val="Tahoma"/>
            <family val="2"/>
          </rPr>
          <t xml:space="preserve">
يتم وضع استطاعة مجموعة التوليد الفعلية في هذه الخانة 
الاستطاعة الفعلية لمجموعة التوليد = 1.3 *استطاعة المحرك الكهربائي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 authorId="0" shapeId="0" xr:uid="{4AC8337D-528D-49C2-9A7A-C1CFC8614034}">
      <text>
        <r>
          <rPr>
            <b/>
            <sz val="10"/>
            <color indexed="81"/>
            <rFont val="Tahoma"/>
            <family val="2"/>
          </rPr>
          <t>Author:</t>
        </r>
        <r>
          <rPr>
            <sz val="10"/>
            <color indexed="81"/>
            <rFont val="Tahoma"/>
            <family val="2"/>
          </rPr>
          <t xml:space="preserve">
ي</t>
        </r>
        <r>
          <rPr>
            <b/>
            <sz val="10"/>
            <color indexed="81"/>
            <rFont val="Tahoma"/>
            <family val="2"/>
          </rPr>
          <t xml:space="preserve">تم رسم منحني النظام
System Curve 
بعد تعبئة هذا الجدول
و من أجل تحديد نقطة العمل للمضخة يجب ملئ بيانات المضخة من الكتلوك الخاص </t>
        </r>
        <r>
          <rPr>
            <b/>
            <sz val="9"/>
            <color indexed="81"/>
            <rFont val="Tahoma"/>
            <family val="2"/>
          </rPr>
          <t>بالمضحة</t>
        </r>
        <r>
          <rPr>
            <sz val="9"/>
            <color indexed="81"/>
            <rFont val="Tahoma"/>
            <family val="2"/>
          </rPr>
          <t xml:space="preserve"> </t>
        </r>
      </text>
    </comment>
    <comment ref="R2" authorId="0" shapeId="0" xr:uid="{7CC18838-5603-4652-BED2-E6E107FABD24}">
      <text>
        <r>
          <rPr>
            <b/>
            <sz val="9"/>
            <color indexed="81"/>
            <rFont val="Tahoma"/>
            <family val="2"/>
          </rPr>
          <t>Author:</t>
        </r>
        <r>
          <rPr>
            <sz val="9"/>
            <color indexed="81"/>
            <rFont val="Tahoma"/>
            <family val="2"/>
          </rPr>
          <t xml:space="preserve">
يتم إدخال قيم هذا السطر من كتلوك المضخة </t>
        </r>
      </text>
    </comment>
    <comment ref="S2" authorId="0" shapeId="0" xr:uid="{B6BF5190-C2B5-4FC6-B280-1441D1C959F0}">
      <text>
        <r>
          <rPr>
            <b/>
            <sz val="9"/>
            <color indexed="81"/>
            <rFont val="Tahoma"/>
            <family val="2"/>
          </rPr>
          <t>Author:</t>
        </r>
        <r>
          <rPr>
            <sz val="9"/>
            <color indexed="81"/>
            <rFont val="Tahoma"/>
            <family val="2"/>
          </rPr>
          <t xml:space="preserve">
يتم إدخال قيم هذا السطر من كتلوك المضخة</t>
        </r>
      </text>
    </comment>
    <comment ref="D3" authorId="0" shapeId="0" xr:uid="{1F10F825-5784-49ED-9A09-7E6D535934C9}">
      <text>
        <r>
          <rPr>
            <b/>
            <sz val="11"/>
            <color indexed="81"/>
            <rFont val="Tahoma"/>
            <family val="2"/>
          </rPr>
          <t>Author:</t>
        </r>
        <r>
          <rPr>
            <sz val="11"/>
            <color indexed="81"/>
            <rFont val="Tahoma"/>
            <family val="2"/>
          </rPr>
          <t xml:space="preserve">
قيم الخلايا باللون البرتقالي يتم إدخالها يدويا من قبل المستخدم  أما باقي الخلايا فيتم حسابها اتوماتيكيا من قبل البرنامج </t>
        </r>
      </text>
    </comment>
    <comment ref="R3" authorId="0" shapeId="0" xr:uid="{B1729C18-E96C-44FF-945E-1977D7098F98}">
      <text>
        <r>
          <rPr>
            <b/>
            <sz val="9"/>
            <color indexed="81"/>
            <rFont val="Tahoma"/>
            <family val="2"/>
          </rPr>
          <t>Author:</t>
        </r>
        <r>
          <rPr>
            <sz val="9"/>
            <color indexed="81"/>
            <rFont val="Tahoma"/>
            <family val="2"/>
          </rPr>
          <t xml:space="preserve">
يتم إدخال قيم هذا السطر من كتلوك المضخة </t>
        </r>
      </text>
    </comment>
    <comment ref="R4" authorId="0" shapeId="0" xr:uid="{66E36B04-2CED-49AE-AE05-F7108BC7DF88}">
      <text>
        <r>
          <rPr>
            <b/>
            <sz val="9"/>
            <color indexed="81"/>
            <rFont val="Tahoma"/>
            <family val="2"/>
          </rPr>
          <t>Author:</t>
        </r>
        <r>
          <rPr>
            <sz val="9"/>
            <color indexed="81"/>
            <rFont val="Tahoma"/>
            <family val="2"/>
          </rPr>
          <t xml:space="preserve">
يتم حساب قيم هذا السطر اتوماتيكيا من البرنامج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5F810994-D4BB-4E11-85A7-AD2B91EA1644}">
      <text>
        <r>
          <rPr>
            <b/>
            <sz val="9"/>
            <color indexed="81"/>
            <rFont val="Tahoma"/>
            <family val="2"/>
          </rPr>
          <t>Author:</t>
        </r>
        <r>
          <rPr>
            <sz val="9"/>
            <color indexed="81"/>
            <rFont val="Tahoma"/>
            <family val="2"/>
          </rPr>
          <t xml:space="preserve">
تعطى قيمته من الشركة الصانعة للمضخة تبعاً لقيمة التدفق الخاص بالمضخة </t>
        </r>
      </text>
    </comment>
    <comment ref="B4" authorId="0" shapeId="0" xr:uid="{B5EDCB67-B5D5-4825-B577-62BB785510E1}">
      <text>
        <r>
          <rPr>
            <b/>
            <sz val="9"/>
            <color indexed="81"/>
            <rFont val="Tahoma"/>
            <family val="2"/>
          </rPr>
          <t>Author:</t>
        </r>
        <r>
          <rPr>
            <sz val="9"/>
            <color indexed="81"/>
            <rFont val="Tahoma"/>
            <family val="2"/>
          </rPr>
          <t xml:space="preserve">
يتم حسابه بناء على معلومات خط السحب للمضخة و تدفق المضخة
</t>
        </r>
      </text>
    </comment>
    <comment ref="B5" authorId="0" shapeId="0" xr:uid="{A61F209F-A86B-4D53-A7D6-59CDA869FF7C}">
      <text>
        <r>
          <rPr>
            <b/>
            <sz val="14"/>
            <color indexed="81"/>
            <rFont val="Tahoma"/>
            <family val="2"/>
          </rPr>
          <t>Author:</t>
        </r>
        <r>
          <rPr>
            <sz val="14"/>
            <color indexed="81"/>
            <rFont val="Tahoma"/>
            <family val="2"/>
          </rPr>
          <t xml:space="preserve">
قانون حساب 
NPSHa</t>
        </r>
      </text>
    </comment>
    <comment ref="C7" authorId="0" shapeId="0" xr:uid="{789398F0-2A28-4A9C-BA94-EA4A1D7C1686}">
      <text>
        <r>
          <rPr>
            <b/>
            <sz val="16"/>
            <color indexed="81"/>
            <rFont val="Tahoma"/>
            <family val="2"/>
          </rPr>
          <t xml:space="preserve">
إدخال يدوي</t>
        </r>
      </text>
    </comment>
    <comment ref="C8" authorId="0" shapeId="0" xr:uid="{3D2E2FE8-C168-41A8-BCB3-190C9E775AA1}">
      <text>
        <r>
          <rPr>
            <b/>
            <sz val="9"/>
            <color indexed="81"/>
            <rFont val="Tahoma"/>
            <family val="2"/>
          </rPr>
          <t>قم باحتيار درجة حرارة للمياه من القيم المتوفرة في الجدول رقم (1).</t>
        </r>
      </text>
    </comment>
    <comment ref="C9" authorId="0" shapeId="0" xr:uid="{639C797B-864F-44E3-A225-6CDD7C28C3E4}">
      <text>
        <r>
          <rPr>
            <b/>
            <sz val="10"/>
            <color indexed="81"/>
            <rFont val="Tahoma"/>
            <family val="2"/>
          </rPr>
          <t>Author:</t>
        </r>
        <r>
          <rPr>
            <sz val="10"/>
            <color indexed="81"/>
            <rFont val="Tahoma"/>
            <family val="2"/>
          </rPr>
          <t xml:space="preserve">
يتم حسابة أتوماتيكيا من الجدول رقم
(1)</t>
        </r>
      </text>
    </comment>
    <comment ref="C10" authorId="0" shapeId="0" xr:uid="{DEEB0B76-CFC0-4D2D-97B4-516456B89BEE}">
      <text>
        <r>
          <rPr>
            <b/>
            <sz val="16"/>
            <color indexed="81"/>
            <rFont val="Tahoma"/>
            <family val="2"/>
          </rPr>
          <t>Author:</t>
        </r>
        <r>
          <rPr>
            <sz val="16"/>
            <color indexed="81"/>
            <rFont val="Tahoma"/>
            <family val="2"/>
          </rPr>
          <t xml:space="preserve">
</t>
        </r>
        <r>
          <rPr>
            <b/>
            <sz val="12"/>
            <color indexed="81"/>
            <rFont val="Tahoma"/>
            <family val="2"/>
          </rPr>
          <t>إدخال يدوي</t>
        </r>
        <r>
          <rPr>
            <sz val="12"/>
            <color indexed="81"/>
            <rFont val="Tahoma"/>
            <family val="2"/>
          </rPr>
          <t xml:space="preserve">
في حال كان مستوى المياه في خزان السحب أعلى من مستوى مدخل المضخة يتم إدخال فرق المنسوب بقيمة سالبة</t>
        </r>
        <r>
          <rPr>
            <sz val="16"/>
            <color indexed="81"/>
            <rFont val="Tahoma"/>
            <family val="2"/>
          </rPr>
          <t xml:space="preserve"> </t>
        </r>
      </text>
    </comment>
    <comment ref="C11" authorId="0" shapeId="0" xr:uid="{6812315B-652B-45B0-A539-E0725657448D}">
      <text>
        <r>
          <rPr>
            <b/>
            <sz val="16"/>
            <color indexed="81"/>
            <rFont val="Tahoma"/>
            <family val="2"/>
          </rPr>
          <t>Author:</t>
        </r>
        <r>
          <rPr>
            <sz val="16"/>
            <color indexed="81"/>
            <rFont val="Tahoma"/>
            <family val="2"/>
          </rPr>
          <t xml:space="preserve">
إدخال يدوي</t>
        </r>
      </text>
    </comment>
    <comment ref="C12" authorId="0" shapeId="0" xr:uid="{A6E36CBB-84C4-4D30-97D5-2A0B9A0154B8}">
      <text>
        <r>
          <rPr>
            <b/>
            <sz val="14"/>
            <color indexed="81"/>
            <rFont val="Tahoma"/>
            <family val="2"/>
          </rPr>
          <t>Author:</t>
        </r>
        <r>
          <rPr>
            <sz val="14"/>
            <color indexed="81"/>
            <rFont val="Tahoma"/>
            <family val="2"/>
          </rPr>
          <t xml:space="preserve">
إدخال يدوي</t>
        </r>
      </text>
    </comment>
    <comment ref="C13" authorId="0" shapeId="0" xr:uid="{8419A0AD-E2BF-4A7B-82D4-3B877DC203B0}">
      <text>
        <r>
          <rPr>
            <b/>
            <sz val="14"/>
            <color indexed="81"/>
            <rFont val="Tahoma"/>
            <family val="2"/>
          </rPr>
          <t>Author:</t>
        </r>
        <r>
          <rPr>
            <sz val="14"/>
            <color indexed="81"/>
            <rFont val="Tahoma"/>
            <family val="2"/>
          </rPr>
          <t xml:space="preserve">
إدخال يدوي</t>
        </r>
      </text>
    </comment>
    <comment ref="C14" authorId="0" shapeId="0" xr:uid="{4ABDC95F-3997-42DB-AB70-825D8216551E}">
      <text>
        <r>
          <rPr>
            <b/>
            <sz val="14"/>
            <color indexed="81"/>
            <rFont val="Tahoma"/>
            <family val="2"/>
          </rPr>
          <t>Author:</t>
        </r>
        <r>
          <rPr>
            <sz val="14"/>
            <color indexed="81"/>
            <rFont val="Tahoma"/>
            <family val="2"/>
          </rPr>
          <t xml:space="preserve">
إدخال يدوي</t>
        </r>
      </text>
    </comment>
    <comment ref="C18" authorId="0" shapeId="0" xr:uid="{46A273EB-5874-43E2-AF0C-6F98E4524426}">
      <text>
        <r>
          <rPr>
            <b/>
            <sz val="9"/>
            <color indexed="81"/>
            <rFont val="Tahoma"/>
            <family val="2"/>
          </rPr>
          <t>Author:</t>
        </r>
        <r>
          <rPr>
            <sz val="9"/>
            <color indexed="81"/>
            <rFont val="Tahoma"/>
            <family val="2"/>
          </rPr>
          <t xml:space="preserve">
يتم إدخال قيمة الطول المكافئ بالاعتماد على الجدول
(2)
أو توخذ من الشركة الصانعة للأكسسوار </t>
        </r>
      </text>
    </comment>
    <comment ref="C19" authorId="0" shapeId="0" xr:uid="{DA7D100D-8F04-4B25-8E4A-8605621B4D81}">
      <text>
        <r>
          <rPr>
            <b/>
            <sz val="9"/>
            <color indexed="81"/>
            <rFont val="Tahoma"/>
            <family val="2"/>
          </rPr>
          <t>Author:</t>
        </r>
        <r>
          <rPr>
            <sz val="9"/>
            <color indexed="81"/>
            <rFont val="Tahoma"/>
            <family val="2"/>
          </rPr>
          <t xml:space="preserve">
يتم إدخال قيمة الطول المكافئ بالاعتماد على الجدول
(2)
أو توخذ من الشركة الصانعة للأكسسوار </t>
        </r>
      </text>
    </comment>
    <comment ref="C20" authorId="0" shapeId="0" xr:uid="{AAD4A7DE-51CE-4282-8215-153CE43FC6FF}">
      <text>
        <r>
          <rPr>
            <b/>
            <sz val="9"/>
            <color indexed="81"/>
            <rFont val="Tahoma"/>
            <family val="2"/>
          </rPr>
          <t>Author:</t>
        </r>
        <r>
          <rPr>
            <sz val="9"/>
            <color indexed="81"/>
            <rFont val="Tahoma"/>
            <family val="2"/>
          </rPr>
          <t xml:space="preserve">
يتم إدخال قيمة الطول المكافئ بالاعتماد على الجدول
(2)
أو توخذ من الشركة الصانعة للأكسسوار </t>
        </r>
      </text>
    </comment>
    <comment ref="C21" authorId="0" shapeId="0" xr:uid="{2F8A3B6F-4414-4FA1-B8C7-128389C8596F}">
      <text>
        <r>
          <rPr>
            <b/>
            <sz val="9"/>
            <color indexed="81"/>
            <rFont val="Tahoma"/>
            <family val="2"/>
          </rPr>
          <t>Author:</t>
        </r>
        <r>
          <rPr>
            <sz val="9"/>
            <color indexed="81"/>
            <rFont val="Tahoma"/>
            <family val="2"/>
          </rPr>
          <t xml:space="preserve">
يتم إدخال قيمة الطول المكافئ بالاعتماد على الجدول
(2)
أو توخذ من الشركة الصانعة للأكسسوار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10" authorId="0" shapeId="0" xr:uid="{85CF5009-6103-42F7-B57A-C26B6FF08A65}">
      <text>
        <r>
          <rPr>
            <b/>
            <sz val="9"/>
            <color indexed="81"/>
            <rFont val="Tahoma"/>
            <family val="2"/>
          </rPr>
          <t>Author:</t>
        </r>
        <r>
          <rPr>
            <sz val="9"/>
            <color indexed="81"/>
            <rFont val="Tahoma"/>
            <family val="2"/>
          </rPr>
          <t xml:space="preserve">
يجب أن لا يتجاوز هبوط الجهد النسبي في الكابلات عن قيمة 
3%</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8" authorId="0" shapeId="0" xr:uid="{00000000-0006-0000-0400-000001000000}">
      <text>
        <r>
          <rPr>
            <b/>
            <sz val="9"/>
            <color indexed="81"/>
            <rFont val="Tahoma"/>
            <family val="2"/>
          </rPr>
          <t>Author:</t>
        </r>
        <r>
          <rPr>
            <sz val="9"/>
            <color indexed="81"/>
            <rFont val="Tahoma"/>
            <family val="2"/>
          </rPr>
          <t xml:space="preserve">
A Variable Frequency Drive (VFD) is a type of motor controller that drives an electric motor by varying the frequency and voltage supplied to the electric motor. Other names for a VFD are variable speed drive, adjustable speed drive, adjustable frequency drive, AC drive, microdrive, and inverter.Mar 20, 2014</t>
        </r>
      </text>
    </comment>
    <comment ref="C15" authorId="0" shapeId="0" xr:uid="{00000000-0006-0000-0400-000002000000}">
      <text>
        <r>
          <rPr>
            <b/>
            <sz val="9"/>
            <color indexed="81"/>
            <rFont val="Tahoma"/>
            <family val="2"/>
          </rPr>
          <t>Author:</t>
        </r>
        <r>
          <rPr>
            <sz val="9"/>
            <color indexed="81"/>
            <rFont val="Tahoma"/>
            <family val="2"/>
          </rPr>
          <t xml:space="preserve">
P= A x V x PF
P= A x V x 0.8 [KW]</t>
        </r>
      </text>
    </comment>
    <comment ref="D15" authorId="0" shapeId="0" xr:uid="{00000000-0006-0000-0400-000003000000}">
      <text>
        <r>
          <rPr>
            <b/>
            <sz val="9"/>
            <color indexed="81"/>
            <rFont val="Tahoma"/>
            <family val="2"/>
          </rPr>
          <t>Author:</t>
        </r>
        <r>
          <rPr>
            <sz val="9"/>
            <color indexed="81"/>
            <rFont val="Tahoma"/>
            <family val="2"/>
          </rPr>
          <t xml:space="preserve">
P= 1.732 x A x V x PF
P= 1.732 x A x V x 0.8 [KW]</t>
        </r>
      </text>
    </comment>
    <comment ref="C16" authorId="0" shapeId="0" xr:uid="{00000000-0006-0000-0400-000004000000}">
      <text>
        <r>
          <rPr>
            <b/>
            <sz val="9"/>
            <color indexed="81"/>
            <rFont val="Tahoma"/>
            <family val="2"/>
          </rPr>
          <t>Author:</t>
        </r>
        <r>
          <rPr>
            <sz val="9"/>
            <color indexed="81"/>
            <rFont val="Tahoma"/>
            <family val="2"/>
          </rPr>
          <t xml:space="preserve">
P= A x V [KVA]</t>
        </r>
      </text>
    </comment>
    <comment ref="D16" authorId="0" shapeId="0" xr:uid="{00000000-0006-0000-0400-000005000000}">
      <text>
        <r>
          <rPr>
            <sz val="9"/>
            <color indexed="81"/>
            <rFont val="Tahoma"/>
            <family val="2"/>
          </rPr>
          <t xml:space="preserve">
P= 1.732 x A x V [KVA]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12" authorId="0" shapeId="0" xr:uid="{2BC3B718-6540-4EBC-B0FE-28CC71EF38C1}">
      <text>
        <r>
          <rPr>
            <b/>
            <sz val="9"/>
            <color indexed="81"/>
            <rFont val="Tahoma"/>
            <family val="2"/>
          </rPr>
          <t>ملاحظة :</t>
        </r>
        <r>
          <rPr>
            <sz val="9"/>
            <color indexed="81"/>
            <rFont val="Tahoma"/>
            <family val="2"/>
          </rPr>
          <t xml:space="preserve">
استطاعة المولدة في حالة استخدام نظام أقلاع اتو ترانس أو سوفت ستار</t>
        </r>
      </text>
    </comment>
  </commentList>
</comments>
</file>

<file path=xl/sharedStrings.xml><?xml version="1.0" encoding="utf-8"?>
<sst xmlns="http://schemas.openxmlformats.org/spreadsheetml/2006/main" count="897" uniqueCount="718">
  <si>
    <t>P ( POWER OF MOTOR)( HP)</t>
  </si>
  <si>
    <t>P ( POWER OF MOTOR)( KW)</t>
  </si>
  <si>
    <t>P ( POWER OF PUMP)(KW)</t>
  </si>
  <si>
    <t>KW</t>
  </si>
  <si>
    <t>HP</t>
  </si>
  <si>
    <t>m3/hr</t>
  </si>
  <si>
    <t>Power of generator</t>
  </si>
  <si>
    <t>KVA</t>
  </si>
  <si>
    <t>Q ( VLOW -M3/day )</t>
  </si>
  <si>
    <t>m3/day</t>
  </si>
  <si>
    <t>m/sec</t>
  </si>
  <si>
    <t>حساب استطاعة المضخة و المولدة</t>
  </si>
  <si>
    <t>LITER FULL</t>
  </si>
  <si>
    <t>Fuel consumption per Day</t>
  </si>
  <si>
    <t>Fuel consumption per Hour</t>
  </si>
  <si>
    <t xml:space="preserve"> working hours per day</t>
  </si>
  <si>
    <t>hour</t>
  </si>
  <si>
    <t>liter per day</t>
  </si>
  <si>
    <t>Fuel consumption per month</t>
  </si>
  <si>
    <t>liter per month</t>
  </si>
  <si>
    <t>m H2O</t>
  </si>
  <si>
    <t>Q ( VLOW -m3/hr )</t>
  </si>
  <si>
    <t>A1</t>
  </si>
  <si>
    <t>A2</t>
  </si>
  <si>
    <t>عدد</t>
  </si>
  <si>
    <t>$</t>
  </si>
  <si>
    <t>PRICE OF LITER FULL</t>
  </si>
  <si>
    <t>TOTAL PRICE OF FULL/MONTH</t>
  </si>
  <si>
    <t>عدد السكان</t>
  </si>
  <si>
    <t>تدفق المضخات</t>
  </si>
  <si>
    <t>احتياج يومي للشخص</t>
  </si>
  <si>
    <t>احتياج يومي كلي لتر</t>
  </si>
  <si>
    <t>احتياج يومي كلي م3</t>
  </si>
  <si>
    <t>per</t>
  </si>
  <si>
    <t>L/DAY</t>
  </si>
  <si>
    <t>L/DAY.P</t>
  </si>
  <si>
    <t>hr</t>
  </si>
  <si>
    <t>Type of Starter</t>
  </si>
  <si>
    <t>Starting Current</t>
  </si>
  <si>
    <t>DOL</t>
  </si>
  <si>
    <t>6 X Full Load Current</t>
  </si>
  <si>
    <t>Star-Delta</t>
  </si>
  <si>
    <t>4 X Full Load Current</t>
  </si>
  <si>
    <t>Auto Transformer</t>
  </si>
  <si>
    <t>3 X Full Load Current</t>
  </si>
  <si>
    <t>Soft Starter</t>
  </si>
  <si>
    <t>2 X Full Load Current</t>
  </si>
  <si>
    <t>VFD</t>
  </si>
  <si>
    <t>1.5 X Full Load Current</t>
  </si>
  <si>
    <t>PF</t>
  </si>
  <si>
    <t>PHASES</t>
  </si>
  <si>
    <t>POWER(KW)</t>
  </si>
  <si>
    <t>1PHASE</t>
  </si>
  <si>
    <t>3PHASE</t>
  </si>
  <si>
    <t>GENERATOR REQUIRED (KVA)</t>
  </si>
  <si>
    <t>AMPERE (A)</t>
  </si>
  <si>
    <t>OCPD RATED</t>
  </si>
  <si>
    <t>CABLE CROSE SECTION (S) MM2</t>
  </si>
  <si>
    <t>AMP. (A)</t>
  </si>
  <si>
    <t>V (V)</t>
  </si>
  <si>
    <t>L (M)</t>
  </si>
  <si>
    <r>
      <t>R (</t>
    </r>
    <r>
      <rPr>
        <sz val="11"/>
        <color indexed="8"/>
        <rFont val="Calibri"/>
        <family val="2"/>
      </rPr>
      <t>Ω/KM)</t>
    </r>
  </si>
  <si>
    <t>WATT</t>
  </si>
  <si>
    <r>
      <t>COS</t>
    </r>
    <r>
      <rPr>
        <sz val="11"/>
        <color indexed="8"/>
        <rFont val="Calibri"/>
        <family val="2"/>
      </rPr>
      <t>Φ</t>
    </r>
  </si>
  <si>
    <r>
      <rPr>
        <sz val="11"/>
        <color indexed="8"/>
        <rFont val="Calibri"/>
        <family val="2"/>
      </rPr>
      <t>Δ</t>
    </r>
    <r>
      <rPr>
        <sz val="11"/>
        <color indexed="8"/>
        <rFont val="Arial"/>
        <family val="2"/>
        <charset val="178"/>
      </rPr>
      <t>V</t>
    </r>
  </si>
  <si>
    <t>%ΔV</t>
  </si>
  <si>
    <t xml:space="preserve"> </t>
  </si>
  <si>
    <t xml:space="preserve">THREE PHASE / VOLTAGE DROP / ACCORDING NEC </t>
  </si>
  <si>
    <t xml:space="preserve">SINGLE PHASE / VOLTAGE DROP / ACCORDING NEC </t>
  </si>
  <si>
    <t>الأنش</t>
  </si>
  <si>
    <t>متر</t>
  </si>
  <si>
    <t>عدد ساعات التشغيل اللازمة</t>
  </si>
  <si>
    <r>
      <t>V (m</t>
    </r>
    <r>
      <rPr>
        <b/>
        <sz val="12"/>
        <color theme="1"/>
        <rFont val="Calibri"/>
        <family val="2"/>
      </rPr>
      <t>³/m)</t>
    </r>
  </si>
  <si>
    <r>
      <t>V tot( m</t>
    </r>
    <r>
      <rPr>
        <b/>
        <sz val="12"/>
        <color theme="1"/>
        <rFont val="Calibri"/>
        <family val="2"/>
      </rPr>
      <t>³)</t>
    </r>
  </si>
  <si>
    <t>volts ( V )</t>
  </si>
  <si>
    <t>Current ( A )</t>
  </si>
  <si>
    <t>POWER (KVA)</t>
  </si>
  <si>
    <t>تحويل من أنش للمتر</t>
  </si>
  <si>
    <t>Hazen-Williams Equation for Pressure Loss in Pipes</t>
  </si>
  <si>
    <t>Specified Data</t>
  </si>
  <si>
    <t>l  = length of pipe (m)</t>
  </si>
  <si>
    <t xml:space="preserve">c = Hazen-Williams roughness constant </t>
  </si>
  <si>
    <t>q = volume flow (m³/hr)</t>
  </si>
  <si>
    <t>dh = inside or hydraulic diameter (inches)</t>
  </si>
  <si>
    <t>Calculated Pressure Loss</t>
  </si>
  <si>
    <t>Calculated Flow Velocity</t>
  </si>
  <si>
    <t>v = flow velocity (m/s)</t>
  </si>
  <si>
    <t>SI Units</t>
  </si>
  <si>
    <t>q = volume flow (liter/sec)</t>
  </si>
  <si>
    <t>dh = inside or hydraulic diameter (mm)</t>
  </si>
  <si>
    <t>f = friction head loss in mm of water per 100 m of pipe (mm H20 per 100 m pipe)</t>
  </si>
  <si>
    <t>f = friction head loss in kPa per 100 m of pipe (kPa per 100 m pipe)</t>
  </si>
  <si>
    <t>Head loss (mm H20)</t>
  </si>
  <si>
    <t>Head loss (kPa)</t>
  </si>
  <si>
    <t>Head loss (m H20)</t>
  </si>
  <si>
    <t>يتم ادخال فقط الخلايا المحددة باللون البرتقالي أما باقي الخلايا فيتم حسابها آليا
تصميم : م هيثم بكور  - هدية للأخوة العاملين في مجال المياه و الإصحاح البيئي</t>
  </si>
  <si>
    <t>الإقلاع المباشر</t>
  </si>
  <si>
    <t>إقلاع ستار دلتا</t>
  </si>
  <si>
    <t>إقلاع اتو ترانس</t>
  </si>
  <si>
    <t>إقلاع سوفت ستار</t>
  </si>
  <si>
    <t>إقلاع بمغير التردد</t>
  </si>
  <si>
    <t>استطاعة المحرك</t>
  </si>
  <si>
    <t>استطاعة المولدة المطلوبة</t>
  </si>
  <si>
    <t>الأمبير اللأسمي للمولدة</t>
  </si>
  <si>
    <t>مواصفات المحرك</t>
  </si>
  <si>
    <t>عامل جداء عدد الأطوار</t>
  </si>
  <si>
    <t>استطاعة المولدة و تيار إقلاع المحرك تبعاً لطريقة الأقلاع</t>
  </si>
  <si>
    <t>حساب عدد ساعات التشغيل اليومية اللازمة</t>
  </si>
  <si>
    <t xml:space="preserve">حساب حجم القميص من الرمل اللازم للردم حول الأنبوب </t>
  </si>
  <si>
    <t>القطر الخارجي</t>
  </si>
  <si>
    <t>طول الخط</t>
  </si>
  <si>
    <t>A( A2-A1 )</t>
  </si>
  <si>
    <t>حجم الردم لمتر من القميص</t>
  </si>
  <si>
    <t>حجم الردم لكامل القميص</t>
  </si>
  <si>
    <t>صفحة نت لتحويل الواحدات
http://www.unitconverters.net/flow-converter.html</t>
  </si>
  <si>
    <t>نظام إقلاع المحرك</t>
  </si>
  <si>
    <t>f = friction head loss in mm of water per 100 m of pipe (m H20 per 100 m pipe)</t>
  </si>
  <si>
    <t xml:space="preserve">ضياعات الاحتكاك : متر عمود ماء لكل 100 متر من الأنبوب </t>
  </si>
  <si>
    <t>Material Hazen-Williams Coefficient - c -</t>
  </si>
  <si>
    <t>ABS - Acrylonite Butadiene Styrene</t>
  </si>
  <si>
    <t xml:space="preserve">Plastic </t>
  </si>
  <si>
    <t>130 - 150</t>
  </si>
  <si>
    <t xml:space="preserve">Aluminum                                 </t>
  </si>
  <si>
    <t xml:space="preserve">  130 - 150</t>
  </si>
  <si>
    <t>Polyethylene, PE, PEH</t>
  </si>
  <si>
    <t>Asbestos Cement</t>
  </si>
  <si>
    <t xml:space="preserve">Polyvinyl chloride, PVC, CPVC </t>
  </si>
  <si>
    <t>Asphalt Lining</t>
  </si>
  <si>
    <t xml:space="preserve"> 130 - 140</t>
  </si>
  <si>
    <t xml:space="preserve">Smooth Pipes </t>
  </si>
  <si>
    <t>Brass</t>
  </si>
  <si>
    <t>Steel new unlined</t>
  </si>
  <si>
    <t xml:space="preserve"> 140 - 150</t>
  </si>
  <si>
    <t>Brick sewer</t>
  </si>
  <si>
    <t xml:space="preserve"> 90 - 100</t>
  </si>
  <si>
    <t xml:space="preserve">Steel, corrugated </t>
  </si>
  <si>
    <t>Cast-Iron - new unlined (CIP)</t>
  </si>
  <si>
    <t xml:space="preserve">Steel, welded and seamless </t>
  </si>
  <si>
    <t>Cast-Iron 10 years old</t>
  </si>
  <si>
    <t xml:space="preserve"> 107 - 113</t>
  </si>
  <si>
    <t xml:space="preserve">Steel, interior riveted, no projecting rivets </t>
  </si>
  <si>
    <t xml:space="preserve">Cast-Iron 20 years old </t>
  </si>
  <si>
    <t>89 - 100</t>
  </si>
  <si>
    <t xml:space="preserve">Steel, projecting girth and horizontal rivets </t>
  </si>
  <si>
    <t>Cast-Iron 30 years old</t>
  </si>
  <si>
    <t xml:space="preserve"> 75 - 90</t>
  </si>
  <si>
    <t xml:space="preserve">Steel, vitrified, spiral-riveted </t>
  </si>
  <si>
    <t>90 - 110</t>
  </si>
  <si>
    <t>Cast-Iron 40 years old</t>
  </si>
  <si>
    <t xml:space="preserve"> 64-83</t>
  </si>
  <si>
    <t>Cast-Iron, asphalt coated</t>
  </si>
  <si>
    <t>Tin</t>
  </si>
  <si>
    <t>Cast-Iron, cement lined</t>
  </si>
  <si>
    <t xml:space="preserve">Vitrified Clay </t>
  </si>
  <si>
    <t xml:space="preserve">Cast-Iron, bituminous lined </t>
  </si>
  <si>
    <t>Wrought iron, plain</t>
  </si>
  <si>
    <t>Cast-Iron, sea-coated</t>
  </si>
  <si>
    <t xml:space="preserve">Wooden or Masonry Pipe - Smooth </t>
  </si>
  <si>
    <t xml:space="preserve">Cast-Iron, wrought plain </t>
  </si>
  <si>
    <t xml:space="preserve">Wood Stave </t>
  </si>
  <si>
    <t>110 - 120</t>
  </si>
  <si>
    <t>PVC</t>
  </si>
  <si>
    <t>Pipe Size</t>
  </si>
  <si>
    <t>Type</t>
  </si>
  <si>
    <t>1/2"</t>
  </si>
  <si>
    <t>3/4"</t>
  </si>
  <si>
    <t>1"</t>
  </si>
  <si>
    <t>1-1/4"</t>
  </si>
  <si>
    <t>1-1/2"</t>
  </si>
  <si>
    <t>2"</t>
  </si>
  <si>
    <t>2-1/2"</t>
  </si>
  <si>
    <t>3"</t>
  </si>
  <si>
    <t>4"</t>
  </si>
  <si>
    <t>90° elbow</t>
  </si>
  <si>
    <t>45° elbow</t>
  </si>
  <si>
    <t>insert coupling</t>
  </si>
  <si>
    <t>gate valve</t>
  </si>
  <si>
    <t>male/female adapter</t>
  </si>
  <si>
    <t>tee-flow (run)</t>
  </si>
  <si>
    <t>tee-flow (branch)</t>
  </si>
  <si>
    <t>Nominal Pipe Size (in)</t>
  </si>
  <si>
    <t>Globe Valve</t>
  </si>
  <si>
    <r>
      <t>60</t>
    </r>
    <r>
      <rPr>
        <sz val="11"/>
        <rFont val="Arial"/>
        <family val="2"/>
      </rPr>
      <t>º</t>
    </r>
    <r>
      <rPr>
        <sz val="11"/>
        <color theme="1"/>
        <rFont val="Calibri"/>
        <family val="2"/>
        <scheme val="minor"/>
      </rPr>
      <t>-Y Valve</t>
    </r>
  </si>
  <si>
    <r>
      <t>45º</t>
    </r>
    <r>
      <rPr>
        <sz val="11"/>
        <color theme="1"/>
        <rFont val="Calibri"/>
        <family val="2"/>
        <scheme val="minor"/>
      </rPr>
      <t>-Y Valve</t>
    </r>
  </si>
  <si>
    <t>Angle Valve</t>
  </si>
  <si>
    <t>Gate Valve</t>
  </si>
  <si>
    <t>Swing Check Valve</t>
  </si>
  <si>
    <t>Y-Strainer</t>
  </si>
  <si>
    <r>
      <t>90</t>
    </r>
    <r>
      <rPr>
        <sz val="11"/>
        <rFont val="Arial"/>
        <family val="2"/>
      </rPr>
      <t xml:space="preserve">º </t>
    </r>
    <r>
      <rPr>
        <sz val="11"/>
        <color theme="1"/>
        <rFont val="Calibri"/>
        <family val="2"/>
        <scheme val="minor"/>
      </rPr>
      <t>Elbow</t>
    </r>
  </si>
  <si>
    <r>
      <t>45</t>
    </r>
    <r>
      <rPr>
        <sz val="11"/>
        <rFont val="Arial"/>
        <family val="2"/>
      </rPr>
      <t xml:space="preserve">º </t>
    </r>
    <r>
      <rPr>
        <sz val="11"/>
        <color theme="1"/>
        <rFont val="Calibri"/>
        <family val="2"/>
        <scheme val="minor"/>
      </rPr>
      <t>Elbow</t>
    </r>
  </si>
  <si>
    <t>Flow-Thru Branch</t>
  </si>
  <si>
    <t>VALVES AND FITTINGS LOSSES IN EQUIVALENT meter OF PIPE</t>
  </si>
  <si>
    <t>Friction Loss in PVC Fittings = EQUIVALENT meter OF STRAIGHT PIPE</t>
  </si>
  <si>
    <t>ضياعات الاحتكاك المحلي ( الضياعات الناتجة في التجهيزات : سكر - كوع - تي - صمام عدم الرجوع )</t>
  </si>
  <si>
    <t>Htot  : HEAD (m H2O)</t>
  </si>
  <si>
    <t xml:space="preserve">الضاغط الكلي ( H tot ) يعطى بالمعادلة التالية </t>
  </si>
  <si>
    <t>الضاغط الكلي = الضاغط الستاتيكي + ضياعات الاحتكاك الطولية + ضياعات الاحتكاك المحلية</t>
  </si>
  <si>
    <t xml:space="preserve">يتم استخراج الطول المكافئ للضياع لكل تجهيزه من الجداول التالية و يعوض في المعادلات في صفحة ضياعات الاحتكاك الطولية لحساب ضياعات الاحتكاك و تعويضها في المعادلات </t>
  </si>
  <si>
    <t>كما يمكن استخراج الطول المكافئ للضياع لكل تجهيزه من المخطط و يعوض في المعادلات في صفحة ضياعات الاحتكاك الطولية لحساب ضياعات الاحتكاك و تعويضها في المعادلات</t>
  </si>
  <si>
    <t xml:space="preserve">كلفة الوقود بالساعة </t>
  </si>
  <si>
    <t>الواحدة</t>
  </si>
  <si>
    <t>LITER/hr</t>
  </si>
  <si>
    <t>USD/LITER</t>
  </si>
  <si>
    <t>USD</t>
  </si>
  <si>
    <t xml:space="preserve">كمية الوقود المصروف بالساعة </t>
  </si>
  <si>
    <t>سعر لتر الوقود بالدولار</t>
  </si>
  <si>
    <t xml:space="preserve">سعرالمتر المكعب الخاص </t>
  </si>
  <si>
    <t>الوفر لكل كتر مكعب</t>
  </si>
  <si>
    <t xml:space="preserve">الوفر الأجمالي للمشروع بالساعة </t>
  </si>
  <si>
    <t xml:space="preserve">عدد ساعات التشغيل اليومية </t>
  </si>
  <si>
    <t xml:space="preserve">الوفر الأجمالي بالشهر </t>
  </si>
  <si>
    <t>USD/month</t>
  </si>
  <si>
    <t>hr/day</t>
  </si>
  <si>
    <t>USD/hr</t>
  </si>
  <si>
    <t>الكمية</t>
  </si>
  <si>
    <t xml:space="preserve">البند </t>
  </si>
  <si>
    <r>
      <t>m</t>
    </r>
    <r>
      <rPr>
        <b/>
        <sz val="11"/>
        <color theme="1"/>
        <rFont val="Calibri"/>
        <family val="2"/>
      </rPr>
      <t>³/hr</t>
    </r>
  </si>
  <si>
    <r>
      <t>USD/m</t>
    </r>
    <r>
      <rPr>
        <b/>
        <sz val="11"/>
        <color theme="1"/>
        <rFont val="Calibri"/>
        <family val="2"/>
      </rPr>
      <t>³ H2O</t>
    </r>
  </si>
  <si>
    <t>person</t>
  </si>
  <si>
    <t>ارتفاع الضخ</t>
  </si>
  <si>
    <t>الاستطاعة الفعلية لمجموعة التوليد</t>
  </si>
  <si>
    <t>الكلفة التشغيلية الشهرية ( ما عدا الوقود )</t>
  </si>
  <si>
    <t xml:space="preserve">حساب وفر المشروع - طاقة شمسية </t>
  </si>
  <si>
    <t>كلفة المتر مكعب من المياه المنتجة</t>
  </si>
  <si>
    <t>سعر المتر المكعب الخاص بالصهاريج</t>
  </si>
  <si>
    <r>
      <t>m</t>
    </r>
    <r>
      <rPr>
        <b/>
        <sz val="14"/>
        <color theme="1"/>
        <rFont val="Calibri"/>
        <family val="2"/>
      </rPr>
      <t>³/hr</t>
    </r>
  </si>
  <si>
    <r>
      <t>USD/m</t>
    </r>
    <r>
      <rPr>
        <b/>
        <sz val="14"/>
        <color theme="1"/>
        <rFont val="Calibri"/>
        <family val="2"/>
      </rPr>
      <t>³ H2O</t>
    </r>
  </si>
  <si>
    <t xml:space="preserve">تدفق المياه </t>
  </si>
  <si>
    <t>Quantity of HTH for liter</t>
  </si>
  <si>
    <t>kg/liter</t>
  </si>
  <si>
    <t>working hours per day</t>
  </si>
  <si>
    <t>Quantity of HTH a month</t>
  </si>
  <si>
    <r>
      <t>kg/m</t>
    </r>
    <r>
      <rPr>
        <sz val="11"/>
        <color theme="1"/>
        <rFont val="Calibri"/>
        <family val="2"/>
      </rPr>
      <t>³</t>
    </r>
  </si>
  <si>
    <t>kg/month</t>
  </si>
  <si>
    <r>
      <t>Quantity of HTH for m</t>
    </r>
    <r>
      <rPr>
        <sz val="12"/>
        <color theme="1"/>
        <rFont val="Calibri"/>
        <family val="2"/>
      </rPr>
      <t xml:space="preserve">³ of </t>
    </r>
    <r>
      <rPr>
        <sz val="12"/>
        <color theme="1"/>
        <rFont val="Calibri"/>
        <family val="2"/>
        <scheme val="minor"/>
      </rPr>
      <t>water</t>
    </r>
  </si>
  <si>
    <t>المطلوب</t>
  </si>
  <si>
    <t>العدد</t>
  </si>
  <si>
    <t>السعر الإفرادي$</t>
  </si>
  <si>
    <t>السعر الإجمالي $</t>
  </si>
  <si>
    <t>مازوت تشغيل</t>
  </si>
  <si>
    <t>لتر</t>
  </si>
  <si>
    <t>زيت محركات</t>
  </si>
  <si>
    <t>كغ</t>
  </si>
  <si>
    <t>مصافي زيت و مازوت</t>
  </si>
  <si>
    <t>صيانات شهرية طارئة</t>
  </si>
  <si>
    <t>مقطوع</t>
  </si>
  <si>
    <t>عامل تشغيل و صيانة</t>
  </si>
  <si>
    <t>عامل</t>
  </si>
  <si>
    <t>مراقب شبكة و صيانة</t>
  </si>
  <si>
    <t>حارس</t>
  </si>
  <si>
    <t>حارس ليلي</t>
  </si>
  <si>
    <t xml:space="preserve">مدير مشروع </t>
  </si>
  <si>
    <t>مهندس</t>
  </si>
  <si>
    <t>صرفيات إدارية (قرطاسية)</t>
  </si>
  <si>
    <t xml:space="preserve">صرفيات تنقل </t>
  </si>
  <si>
    <t>المجموع</t>
  </si>
  <si>
    <t>جدول يوضح كلفة التشغيل الشهرية التقرييبية</t>
  </si>
  <si>
    <t xml:space="preserve"> Cost of operation for generator</t>
  </si>
  <si>
    <t xml:space="preserve">Calculate power of generator </t>
  </si>
  <si>
    <t>Calculate cost of solar power system</t>
  </si>
  <si>
    <t>TOTAL cost of generator per Year</t>
  </si>
  <si>
    <t>Nomber of solar panels</t>
  </si>
  <si>
    <t>Power of solar panal</t>
  </si>
  <si>
    <t xml:space="preserve">Total power </t>
  </si>
  <si>
    <t>Price of solar panal</t>
  </si>
  <si>
    <t>Total cost for solar panals</t>
  </si>
  <si>
    <t>Number of batteries</t>
  </si>
  <si>
    <t xml:space="preserve">Price of battery </t>
  </si>
  <si>
    <t>Total cost for batteries</t>
  </si>
  <si>
    <t>Price of inverter</t>
  </si>
  <si>
    <t>Cost of electrical connection</t>
  </si>
  <si>
    <t>Total cost of solar power system</t>
  </si>
  <si>
    <t>Pieces</t>
  </si>
  <si>
    <t>Liter of fuel</t>
  </si>
  <si>
    <t>kVA</t>
  </si>
  <si>
    <t>kW</t>
  </si>
  <si>
    <t>Cost of maintenance and oil per day</t>
  </si>
  <si>
    <t xml:space="preserve">Noumber of monthes to cost recevry all the cost of the solar power system </t>
  </si>
  <si>
    <t>monthes</t>
  </si>
  <si>
    <t>Cost of metal panal bases</t>
  </si>
  <si>
    <t xml:space="preserve">الحسابات التفصيلية للجباية و  استرداد الكلفة لمشاريع المياه 
Details of Tariff &amp; Costs Recovery Operation for Water Projects </t>
  </si>
  <si>
    <t xml:space="preserve">بيانات المستفيدين /Beneficiary Data     </t>
  </si>
  <si>
    <t>عدد السكان المستفيدين Number of Households (Beneficiaries)</t>
  </si>
  <si>
    <t xml:space="preserve">يمثل هذا اللون الخلايا التي يتم إدخال البيانات فيها بناء على معلومات المشروع و المنطقة المستفيدة من المشروع </t>
  </si>
  <si>
    <t>عدد الاسر المستفيدة Number of Families (Beneficiaries)</t>
  </si>
  <si>
    <t xml:space="preserve">بيانات المشروع /  Project Data </t>
  </si>
  <si>
    <t xml:space="preserve">الكلفة الأجمالية للتجهيزات الميكانيكية و الكهربائية  $
Total amount for Electrical &amp; Mechanical Equipment USD </t>
  </si>
  <si>
    <t>يمثل هذا اللون البيانات التي يتم حسابها بشكل آلي من قبل برنامج الأكسل</t>
  </si>
  <si>
    <t xml:space="preserve">الكلفة الأجمالية للتجهيزات المدنية  $
Total amount for Civil Works USD </t>
  </si>
  <si>
    <t>كمية المياه المنتجة يومياً /  Daily Water Demand</t>
  </si>
  <si>
    <t>التدفق الناتج عن المشروع بالساعة ( متر مكعب بالساعة )
Flow per hour (m3/hr)</t>
  </si>
  <si>
    <t>يمثل هذا اللون النتائج النهائية لحسابات الجباية و  استرداد الكلفة</t>
  </si>
  <si>
    <t>عدد ساعات لتشغيل اليومية
  Number of Operating Hours  per Day</t>
  </si>
  <si>
    <t>الكمية المنتجة من المياه يومياً ( متر مكعب باليوم )
Total Volume of Water Flowing per Day (m3/day)</t>
  </si>
  <si>
    <t>نسبة الفاقد من المياه
 (%) Water Losses in Distribution Networks</t>
  </si>
  <si>
    <t>الكمية الفعلية للمياه يومياً ( متر مكعب باليوم )
Actual Amount of Water Pumped (Source to User) per Day (m3/day)</t>
  </si>
  <si>
    <t xml:space="preserve">يمثل هذا اللون الخلايا التي تتضمن النصوص و العناوين </t>
  </si>
  <si>
    <t xml:space="preserve">كمية المياه اليومية للشخص الواحد 
Daily Water Demand per Capita (L/day) </t>
  </si>
  <si>
    <t>حساب الكلفة اليومية
 للرواتب و الأجور
Total Salaries for Operating Staff in Water Economic Unit (USD/day)</t>
  </si>
  <si>
    <t xml:space="preserve">المسمى الوظيفي
Position Title </t>
  </si>
  <si>
    <r>
      <t>الراتب الشهري USD</t>
    </r>
    <r>
      <rPr>
        <b/>
        <sz val="16"/>
        <color theme="0"/>
        <rFont val="Calibri"/>
        <family val="2"/>
      </rPr>
      <t xml:space="preserve">
</t>
    </r>
    <r>
      <rPr>
        <b/>
        <sz val="16"/>
        <color theme="0"/>
        <rFont val="Sakkal Majalla"/>
      </rPr>
      <t>Salary/month</t>
    </r>
  </si>
  <si>
    <t>عدد الموظفين
No. of Staff</t>
  </si>
  <si>
    <t xml:space="preserve">محصلة الراتب اليومي للوظيفة  $
Average Daily Rate USD/Day </t>
  </si>
  <si>
    <t>مدير وحدة المياه /  Head of WEU</t>
  </si>
  <si>
    <t>مهندس مسؤول / Engineer</t>
  </si>
  <si>
    <t xml:space="preserve">مشرف فني / Technician </t>
  </si>
  <si>
    <t xml:space="preserve">عامل صيانة / Maintenance Worker </t>
  </si>
  <si>
    <t>حارس / Guard</t>
  </si>
  <si>
    <t xml:space="preserve">عامل جباية / Tariff Collector </t>
  </si>
  <si>
    <t>محاسب الجباية / Accountant</t>
  </si>
  <si>
    <t>المجموع   Total</t>
  </si>
  <si>
    <t>حساب كلفة الوقود و الزيوت
Total Costs for fuel and oil</t>
  </si>
  <si>
    <t>اسم المحطة 
Name of pump station</t>
  </si>
  <si>
    <t>رقم مجموعة التوليد
No. of Generators Unit</t>
  </si>
  <si>
    <t>استهلاك المحرك من الوقود ليتر / ساعة 
Fuel Consumption (l/hr)</t>
  </si>
  <si>
    <t>استهلاك المحرك زيت
 ليتر / الشهر
Oil Consumption (l/month)</t>
  </si>
  <si>
    <t>عدد ساعات التشغيل باليوم
No. of Operating Hours</t>
  </si>
  <si>
    <t>سعر الليتر من الوقود   $
Price of fuel (USD)</t>
  </si>
  <si>
    <t>سعر الليتر من الزيوت  $
Price of Oil 
(USD)</t>
  </si>
  <si>
    <t>كلفة الوقود اليومية للمولدة
Daily Cost of Fuel for Generator (USD)</t>
  </si>
  <si>
    <t>كلفة الزيوت اليومية للمولدة
Daily Cost of Oil for Generator (USD)</t>
  </si>
  <si>
    <t>بئر المنطار</t>
  </si>
  <si>
    <t>مجموعة التوليد رقم 1</t>
  </si>
  <si>
    <t>بئر  الجصة</t>
  </si>
  <si>
    <t>مجموعة التوليد رقم 2</t>
  </si>
  <si>
    <t>البئر الشرقي</t>
  </si>
  <si>
    <t>مجموعة التوليد رقم 3</t>
  </si>
  <si>
    <t>مجموعة التوليد رقم 4</t>
  </si>
  <si>
    <t>المجموع Total</t>
  </si>
  <si>
    <t>حساب كلفة الصيانة و الاهتلاك
 Costs of maintenance and Depreciation</t>
  </si>
  <si>
    <t>التجهيزات
Equipment</t>
  </si>
  <si>
    <t>الكلفة الاجمالية للتجهيزات
Total Costs for Equipment</t>
  </si>
  <si>
    <t>كلفة صيانة  التجهيزات سنويا 
Total Costs for Maintenance (Yearly)</t>
  </si>
  <si>
    <t xml:space="preserve">كلفة صيانة التجهيزات يوميا
Total Costs for Equipment (Daily) </t>
  </si>
  <si>
    <t xml:space="preserve">كلفة اهتلاك التجهيزات سنويا
Total Costs for Maintenance (Yearly) </t>
  </si>
  <si>
    <t>كلفة اهتلاك التجهيزات يوميا  $
Total Costs for Maintenance (Daily)</t>
  </si>
  <si>
    <t>التجهيزات الميكانيكية و الكهربائية للمشروع
   Electrical &amp; Mechanical Equipment</t>
  </si>
  <si>
    <t>التجهيزات المدنية للمشروع / Civil Works</t>
  </si>
  <si>
    <t>المجموع  Total</t>
  </si>
  <si>
    <t>خلاصة الحسابات الخاصة بالجباية و إعادة الكلف للمشروع
Summary for Tariff &amp; Costs Recovery</t>
  </si>
  <si>
    <t>دولار أمريكي USD</t>
  </si>
  <si>
    <t>ليرة سورية  SYP</t>
  </si>
  <si>
    <t>القيمة المقابلة بالليرة السورية لكل دولار أمريكي
Exchange Rate: 1 USD equal 525 SYP</t>
  </si>
  <si>
    <t>كلفة الرواتب اليومية 
Salaries (Daily)</t>
  </si>
  <si>
    <t>كلفة الوقود اليومية 
Costs for Fuel (Daily)</t>
  </si>
  <si>
    <t>كلفة الزيوت  اليومية 
Costs for Oil (Daily)</t>
  </si>
  <si>
    <t>كلفة الصيانة اليومية
Costs for Maintenance (Daily)</t>
  </si>
  <si>
    <t>كلفة الاهتلاك اليومي
Costs for Depreciation (Daily)</t>
  </si>
  <si>
    <t>مجموع الكلف اليومية  Total Costs</t>
  </si>
  <si>
    <t>الكمية الفعلية للمياه يومياً
Total Amount for Daily Water m3/day</t>
  </si>
  <si>
    <t>كلفة المتر مكعب من المياه 
Production Cost of One Meter Cube</t>
  </si>
  <si>
    <t>فاتورة المياه للشخص الواحد شهريا
Tariff per Capita (Monthly)</t>
  </si>
  <si>
    <t>فاتورة المياه حسب عدد الاسر شهريا
Tariff per Families (Monthly)</t>
  </si>
  <si>
    <t>m³/sec</t>
  </si>
  <si>
    <t>m³/hr</t>
  </si>
  <si>
    <t>m³/day</t>
  </si>
  <si>
    <t xml:space="preserve">سماكة الردم حول الأنبوب </t>
  </si>
  <si>
    <t xml:space="preserve"> قطر الأنبوب الخارجي</t>
  </si>
  <si>
    <t>m</t>
  </si>
  <si>
    <t>مساحة مقطع الأنبوب متر مربع</t>
  </si>
  <si>
    <t>مساحة مقطع الخارجي متر مربع</t>
  </si>
  <si>
    <t>مساحة مقطع القميص متر مربع</t>
  </si>
  <si>
    <t xml:space="preserve">ثابت هايزن ويليامز </t>
  </si>
  <si>
    <t>material of pipe - مادة الأنبوب</t>
  </si>
  <si>
    <t>كلفة المتر مكعب من المياه من المحطة</t>
  </si>
  <si>
    <t>حساب وفر المشروع - محطة المياه</t>
  </si>
  <si>
    <t>تدفق المياه للمحطة</t>
  </si>
  <si>
    <t xml:space="preserve">حساب كمية الكلور البودرة اللازمة للمحطة شهريا </t>
  </si>
  <si>
    <t>Length</t>
  </si>
  <si>
    <t>Power</t>
  </si>
  <si>
    <t>Dynamic Viscosity</t>
  </si>
  <si>
    <t>Heat Flux</t>
  </si>
  <si>
    <t>mile</t>
  </si>
  <si>
    <r>
      <t xml:space="preserve">yard </t>
    </r>
    <r>
      <rPr>
        <vertAlign val="superscript"/>
        <sz val="8"/>
        <color indexed="9"/>
        <rFont val="Arial"/>
        <family val="2"/>
      </rPr>
      <t>3</t>
    </r>
  </si>
  <si>
    <t>MMscf / hr</t>
  </si>
  <si>
    <r>
      <t xml:space="preserve">ft </t>
    </r>
    <r>
      <rPr>
        <vertAlign val="superscript"/>
        <sz val="8"/>
        <color indexed="9"/>
        <rFont val="Arial"/>
        <family val="2"/>
      </rPr>
      <t>3</t>
    </r>
    <r>
      <rPr>
        <sz val="8"/>
        <color indexed="9"/>
        <rFont val="Arial"/>
        <family val="2"/>
      </rPr>
      <t xml:space="preserve"> / sec</t>
    </r>
  </si>
  <si>
    <t>psi</t>
  </si>
  <si>
    <t>hp</t>
  </si>
  <si>
    <t>hp . hr</t>
  </si>
  <si>
    <t>Long Ton</t>
  </si>
  <si>
    <r>
      <t>ft</t>
    </r>
    <r>
      <rPr>
        <vertAlign val="superscript"/>
        <sz val="8"/>
        <color indexed="9"/>
        <rFont val="Arial"/>
        <family val="2"/>
      </rPr>
      <t>2</t>
    </r>
  </si>
  <si>
    <r>
      <t>gr / cm</t>
    </r>
    <r>
      <rPr>
        <vertAlign val="superscript"/>
        <sz val="8"/>
        <color indexed="9"/>
        <rFont val="Arial"/>
        <family val="2"/>
      </rPr>
      <t>3</t>
    </r>
  </si>
  <si>
    <t>centipoise</t>
  </si>
  <si>
    <t>centistoke</t>
  </si>
  <si>
    <t>lb / sec</t>
  </si>
  <si>
    <r>
      <t>Btu / hr . ft</t>
    </r>
    <r>
      <rPr>
        <vertAlign val="superscript"/>
        <sz val="8"/>
        <color indexed="9"/>
        <rFont val="Arial"/>
        <family val="2"/>
      </rPr>
      <t>2</t>
    </r>
    <r>
      <rPr>
        <sz val="8"/>
        <color indexed="9"/>
        <rFont val="Arial"/>
        <family val="2"/>
      </rPr>
      <t xml:space="preserve"> . F</t>
    </r>
  </si>
  <si>
    <t>Btu / hr . ft . F</t>
  </si>
  <si>
    <r>
      <t>Btu / hr . ft</t>
    </r>
    <r>
      <rPr>
        <vertAlign val="superscript"/>
        <sz val="8"/>
        <color indexed="9"/>
        <rFont val="Arial"/>
        <family val="2"/>
      </rPr>
      <t>2</t>
    </r>
  </si>
  <si>
    <t>Btu / lb</t>
  </si>
  <si>
    <t>Btu / lb . F</t>
  </si>
  <si>
    <t>yard</t>
  </si>
  <si>
    <t>bbl</t>
  </si>
  <si>
    <t>MMscf / day</t>
  </si>
  <si>
    <r>
      <t xml:space="preserve">ft </t>
    </r>
    <r>
      <rPr>
        <vertAlign val="superscript"/>
        <sz val="8"/>
        <color indexed="9"/>
        <rFont val="Arial"/>
        <family val="2"/>
      </rPr>
      <t>3</t>
    </r>
    <r>
      <rPr>
        <sz val="8"/>
        <color indexed="9"/>
        <rFont val="Arial"/>
        <family val="2"/>
      </rPr>
      <t xml:space="preserve"> / min</t>
    </r>
  </si>
  <si>
    <t>in Hg</t>
  </si>
  <si>
    <t>hp  (metric)</t>
  </si>
  <si>
    <t>Btu</t>
  </si>
  <si>
    <t>Short Ton</t>
  </si>
  <si>
    <r>
      <t>in</t>
    </r>
    <r>
      <rPr>
        <vertAlign val="superscript"/>
        <sz val="8"/>
        <color indexed="9"/>
        <rFont val="Arial"/>
        <family val="2"/>
      </rPr>
      <t>2</t>
    </r>
  </si>
  <si>
    <t>gr / ml</t>
  </si>
  <si>
    <t>poise</t>
  </si>
  <si>
    <t>stoke</t>
  </si>
  <si>
    <t>lb / min</t>
  </si>
  <si>
    <r>
      <t>cal / sec . cm</t>
    </r>
    <r>
      <rPr>
        <vertAlign val="superscript"/>
        <sz val="8"/>
        <color indexed="9"/>
        <rFont val="Arial"/>
        <family val="2"/>
      </rPr>
      <t>2</t>
    </r>
    <r>
      <rPr>
        <sz val="8"/>
        <color indexed="9"/>
        <rFont val="Arial"/>
        <family val="2"/>
      </rPr>
      <t xml:space="preserve"> . C</t>
    </r>
  </si>
  <si>
    <t>cal / sec . cm . C</t>
  </si>
  <si>
    <r>
      <t>cal / sec . cm</t>
    </r>
    <r>
      <rPr>
        <vertAlign val="superscript"/>
        <sz val="8"/>
        <color indexed="9"/>
        <rFont val="Arial"/>
        <family val="2"/>
      </rPr>
      <t>2</t>
    </r>
  </si>
  <si>
    <t>cal / gr</t>
  </si>
  <si>
    <t>cal / gr . C</t>
  </si>
  <si>
    <t>Volume</t>
  </si>
  <si>
    <t>Energy</t>
  </si>
  <si>
    <t>Kinematic Viscosity</t>
  </si>
  <si>
    <t>Specific Energy</t>
  </si>
  <si>
    <t>ft</t>
  </si>
  <si>
    <r>
      <t xml:space="preserve">ft </t>
    </r>
    <r>
      <rPr>
        <vertAlign val="superscript"/>
        <sz val="8"/>
        <color indexed="9"/>
        <rFont val="Arial"/>
        <family val="2"/>
      </rPr>
      <t>3</t>
    </r>
  </si>
  <si>
    <t>Mscf / hr</t>
  </si>
  <si>
    <r>
      <t xml:space="preserve">ft </t>
    </r>
    <r>
      <rPr>
        <vertAlign val="superscript"/>
        <sz val="8"/>
        <color indexed="9"/>
        <rFont val="Arial"/>
        <family val="2"/>
      </rPr>
      <t>3</t>
    </r>
    <r>
      <rPr>
        <sz val="8"/>
        <color indexed="9"/>
        <rFont val="Arial"/>
        <family val="2"/>
      </rPr>
      <t xml:space="preserve"> / hr</t>
    </r>
  </si>
  <si>
    <t>mm Hg</t>
  </si>
  <si>
    <t>ton  (refrig.)</t>
  </si>
  <si>
    <r>
      <t>ft . lb</t>
    </r>
    <r>
      <rPr>
        <vertAlign val="subscript"/>
        <sz val="8"/>
        <color indexed="9"/>
        <rFont val="Arial"/>
        <family val="2"/>
      </rPr>
      <t>f</t>
    </r>
  </si>
  <si>
    <t>Metric Ton</t>
  </si>
  <si>
    <r>
      <t xml:space="preserve">yard </t>
    </r>
    <r>
      <rPr>
        <vertAlign val="superscript"/>
        <sz val="8"/>
        <color indexed="9"/>
        <rFont val="Arial"/>
        <family val="2"/>
      </rPr>
      <t>2</t>
    </r>
  </si>
  <si>
    <t>gr / lit</t>
  </si>
  <si>
    <t>Pa . sec</t>
  </si>
  <si>
    <r>
      <t>ft</t>
    </r>
    <r>
      <rPr>
        <vertAlign val="superscript"/>
        <sz val="8"/>
        <color indexed="9"/>
        <rFont val="Arial"/>
        <family val="2"/>
      </rPr>
      <t>2</t>
    </r>
    <r>
      <rPr>
        <sz val="8"/>
        <color indexed="9"/>
        <rFont val="Arial"/>
        <family val="2"/>
      </rPr>
      <t xml:space="preserve"> / sec</t>
    </r>
  </si>
  <si>
    <t>lb / hr</t>
  </si>
  <si>
    <r>
      <t>watt / cm</t>
    </r>
    <r>
      <rPr>
        <vertAlign val="superscript"/>
        <sz val="8"/>
        <color indexed="9"/>
        <rFont val="Arial"/>
        <family val="2"/>
      </rPr>
      <t>2</t>
    </r>
    <r>
      <rPr>
        <sz val="8"/>
        <color indexed="9"/>
        <rFont val="Arial"/>
        <family val="2"/>
      </rPr>
      <t xml:space="preserve"> . C</t>
    </r>
  </si>
  <si>
    <t>watt / cm . C</t>
  </si>
  <si>
    <r>
      <t>watt / cm</t>
    </r>
    <r>
      <rPr>
        <vertAlign val="superscript"/>
        <sz val="8"/>
        <color indexed="9"/>
        <rFont val="Arial"/>
        <family val="2"/>
      </rPr>
      <t>2</t>
    </r>
  </si>
  <si>
    <t>joule / gr</t>
  </si>
  <si>
    <t>joule / gr . C</t>
  </si>
  <si>
    <t>in</t>
  </si>
  <si>
    <t>gal  (Imperial)</t>
  </si>
  <si>
    <t>Mscf / day</t>
  </si>
  <si>
    <t>bbl / hr</t>
  </si>
  <si>
    <r>
      <t>ft H</t>
    </r>
    <r>
      <rPr>
        <vertAlign val="subscript"/>
        <sz val="8"/>
        <color indexed="9"/>
        <rFont val="Arial"/>
        <family val="2"/>
      </rPr>
      <t>2</t>
    </r>
    <r>
      <rPr>
        <sz val="8"/>
        <color indexed="9"/>
        <rFont val="Arial"/>
        <family val="2"/>
      </rPr>
      <t>O</t>
    </r>
  </si>
  <si>
    <t>Btu / min</t>
  </si>
  <si>
    <t>kW .  hr</t>
  </si>
  <si>
    <t>lb</t>
  </si>
  <si>
    <r>
      <t xml:space="preserve">mile </t>
    </r>
    <r>
      <rPr>
        <vertAlign val="superscript"/>
        <sz val="8"/>
        <color indexed="9"/>
        <rFont val="Arial"/>
        <family val="2"/>
      </rPr>
      <t>2</t>
    </r>
  </si>
  <si>
    <t>gr / gal</t>
  </si>
  <si>
    <t>lb / ft . hr</t>
  </si>
  <si>
    <r>
      <t>ft</t>
    </r>
    <r>
      <rPr>
        <vertAlign val="superscript"/>
        <sz val="8"/>
        <color indexed="9"/>
        <rFont val="Arial"/>
        <family val="2"/>
      </rPr>
      <t>2</t>
    </r>
    <r>
      <rPr>
        <sz val="8"/>
        <color indexed="9"/>
        <rFont val="Arial"/>
        <family val="2"/>
      </rPr>
      <t xml:space="preserve"> / hr</t>
    </r>
  </si>
  <si>
    <t>lb / day</t>
  </si>
  <si>
    <r>
      <t>kcal / hr . m</t>
    </r>
    <r>
      <rPr>
        <vertAlign val="superscript"/>
        <sz val="8"/>
        <color indexed="9"/>
        <rFont val="Arial"/>
        <family val="2"/>
      </rPr>
      <t>2</t>
    </r>
    <r>
      <rPr>
        <sz val="8"/>
        <color indexed="9"/>
        <rFont val="Arial"/>
        <family val="2"/>
      </rPr>
      <t xml:space="preserve"> . C</t>
    </r>
  </si>
  <si>
    <t>kcal / hr . m . C</t>
  </si>
  <si>
    <r>
      <t>kcal / hr . m</t>
    </r>
    <r>
      <rPr>
        <vertAlign val="superscript"/>
        <sz val="8"/>
        <color indexed="9"/>
        <rFont val="Arial"/>
        <family val="2"/>
      </rPr>
      <t>2</t>
    </r>
  </si>
  <si>
    <t>cal / kg</t>
  </si>
  <si>
    <t>cal / kg . C</t>
  </si>
  <si>
    <t>km</t>
  </si>
  <si>
    <t>gal  (US)</t>
  </si>
  <si>
    <t>lb-mol / hr</t>
  </si>
  <si>
    <t>bbl / day</t>
  </si>
  <si>
    <r>
      <t>in H</t>
    </r>
    <r>
      <rPr>
        <vertAlign val="subscript"/>
        <sz val="8"/>
        <color indexed="9"/>
        <rFont val="Arial"/>
        <family val="2"/>
      </rPr>
      <t>2</t>
    </r>
    <r>
      <rPr>
        <sz val="8"/>
        <color indexed="9"/>
        <rFont val="Arial"/>
        <family val="2"/>
      </rPr>
      <t>O</t>
    </r>
  </si>
  <si>
    <t>Btu / hr</t>
  </si>
  <si>
    <t>Cal</t>
  </si>
  <si>
    <t>oz</t>
  </si>
  <si>
    <r>
      <t>mm</t>
    </r>
    <r>
      <rPr>
        <vertAlign val="superscript"/>
        <sz val="8"/>
        <color indexed="9"/>
        <rFont val="Arial"/>
        <family val="2"/>
      </rPr>
      <t>2</t>
    </r>
  </si>
  <si>
    <r>
      <t>kg / m</t>
    </r>
    <r>
      <rPr>
        <vertAlign val="superscript"/>
        <sz val="8"/>
        <color indexed="9"/>
        <rFont val="Arial"/>
        <family val="2"/>
      </rPr>
      <t>3</t>
    </r>
  </si>
  <si>
    <t>lb / ft . sec</t>
  </si>
  <si>
    <r>
      <t>m</t>
    </r>
    <r>
      <rPr>
        <vertAlign val="superscript"/>
        <sz val="8"/>
        <color indexed="9"/>
        <rFont val="Arial"/>
        <family val="2"/>
      </rPr>
      <t>2</t>
    </r>
    <r>
      <rPr>
        <sz val="8"/>
        <color indexed="9"/>
        <rFont val="Arial"/>
        <family val="2"/>
      </rPr>
      <t xml:space="preserve"> / sec</t>
    </r>
  </si>
  <si>
    <t>kg / sec</t>
  </si>
  <si>
    <r>
      <t>watt / m</t>
    </r>
    <r>
      <rPr>
        <vertAlign val="superscript"/>
        <sz val="8"/>
        <color indexed="9"/>
        <rFont val="Arial"/>
        <family val="2"/>
      </rPr>
      <t>2</t>
    </r>
    <r>
      <rPr>
        <sz val="8"/>
        <color indexed="9"/>
        <rFont val="Arial"/>
        <family val="2"/>
      </rPr>
      <t xml:space="preserve"> . C</t>
    </r>
  </si>
  <si>
    <t>watt / m . C</t>
  </si>
  <si>
    <r>
      <t>watt / m</t>
    </r>
    <r>
      <rPr>
        <vertAlign val="superscript"/>
        <sz val="8"/>
        <color indexed="9"/>
        <rFont val="Arial"/>
        <family val="2"/>
      </rPr>
      <t>2</t>
    </r>
  </si>
  <si>
    <t>joule / kg</t>
  </si>
  <si>
    <t>joule / kg . C</t>
  </si>
  <si>
    <t xml:space="preserve">m </t>
  </si>
  <si>
    <t>fl. oz</t>
  </si>
  <si>
    <t>lb-mol / day</t>
  </si>
  <si>
    <t>gal / min</t>
  </si>
  <si>
    <t>torr</t>
  </si>
  <si>
    <t>kCal</t>
  </si>
  <si>
    <t>kg</t>
  </si>
  <si>
    <r>
      <t>cm</t>
    </r>
    <r>
      <rPr>
        <vertAlign val="superscript"/>
        <sz val="8"/>
        <color indexed="9"/>
        <rFont val="Arial"/>
        <family val="2"/>
      </rPr>
      <t>2</t>
    </r>
  </si>
  <si>
    <r>
      <t>lb / in</t>
    </r>
    <r>
      <rPr>
        <vertAlign val="superscript"/>
        <sz val="8"/>
        <color indexed="9"/>
        <rFont val="Arial"/>
        <family val="2"/>
      </rPr>
      <t>3</t>
    </r>
  </si>
  <si>
    <r>
      <t>lb</t>
    </r>
    <r>
      <rPr>
        <vertAlign val="subscript"/>
        <sz val="8"/>
        <color indexed="9"/>
        <rFont val="Arial"/>
        <family val="2"/>
      </rPr>
      <t>f</t>
    </r>
    <r>
      <rPr>
        <sz val="8"/>
        <color indexed="9"/>
        <rFont val="Arial"/>
        <family val="2"/>
      </rPr>
      <t xml:space="preserve"> . sec / ft2</t>
    </r>
  </si>
  <si>
    <r>
      <t>m</t>
    </r>
    <r>
      <rPr>
        <vertAlign val="superscript"/>
        <sz val="8"/>
        <color indexed="9"/>
        <rFont val="Arial"/>
        <family val="2"/>
      </rPr>
      <t>2</t>
    </r>
    <r>
      <rPr>
        <sz val="8"/>
        <color indexed="9"/>
        <rFont val="Arial"/>
        <family val="2"/>
      </rPr>
      <t xml:space="preserve"> / hr</t>
    </r>
  </si>
  <si>
    <t>kg / min</t>
  </si>
  <si>
    <t>Molar Flowrate</t>
  </si>
  <si>
    <t>Mass</t>
  </si>
  <si>
    <t>Mass Flowrate</t>
  </si>
  <si>
    <t>Specific Heat</t>
  </si>
  <si>
    <t>cm</t>
  </si>
  <si>
    <r>
      <t xml:space="preserve">in </t>
    </r>
    <r>
      <rPr>
        <vertAlign val="superscript"/>
        <sz val="8"/>
        <color indexed="9"/>
        <rFont val="Arial"/>
        <family val="2"/>
      </rPr>
      <t>3</t>
    </r>
  </si>
  <si>
    <t>g-mol / hr</t>
  </si>
  <si>
    <t>gal / day</t>
  </si>
  <si>
    <t>atm</t>
  </si>
  <si>
    <t>Cal / sec</t>
  </si>
  <si>
    <t>joule</t>
  </si>
  <si>
    <t>gr</t>
  </si>
  <si>
    <r>
      <t>m</t>
    </r>
    <r>
      <rPr>
        <vertAlign val="superscript"/>
        <sz val="8"/>
        <color indexed="9"/>
        <rFont val="Arial"/>
        <family val="2"/>
      </rPr>
      <t>2</t>
    </r>
  </si>
  <si>
    <r>
      <t>lb / ft</t>
    </r>
    <r>
      <rPr>
        <vertAlign val="superscript"/>
        <sz val="8"/>
        <color indexed="9"/>
        <rFont val="Arial"/>
        <family val="2"/>
      </rPr>
      <t>3</t>
    </r>
  </si>
  <si>
    <r>
      <t>lb</t>
    </r>
    <r>
      <rPr>
        <vertAlign val="subscript"/>
        <sz val="8"/>
        <color indexed="9"/>
        <rFont val="Arial"/>
        <family val="2"/>
      </rPr>
      <t>f</t>
    </r>
    <r>
      <rPr>
        <sz val="8"/>
        <color indexed="9"/>
        <rFont val="Arial"/>
        <family val="2"/>
      </rPr>
      <t xml:space="preserve"> . sec / in2</t>
    </r>
  </si>
  <si>
    <r>
      <t>cm</t>
    </r>
    <r>
      <rPr>
        <vertAlign val="superscript"/>
        <sz val="8"/>
        <color indexed="9"/>
        <rFont val="Arial"/>
        <family val="2"/>
      </rPr>
      <t>2</t>
    </r>
    <r>
      <rPr>
        <sz val="8"/>
        <color indexed="9"/>
        <rFont val="Arial"/>
        <family val="2"/>
      </rPr>
      <t xml:space="preserve"> / sec</t>
    </r>
  </si>
  <si>
    <t>kg / hr</t>
  </si>
  <si>
    <t>mm</t>
  </si>
  <si>
    <r>
      <t xml:space="preserve">m </t>
    </r>
    <r>
      <rPr>
        <vertAlign val="superscript"/>
        <sz val="8"/>
        <color indexed="9"/>
        <rFont val="Arial"/>
        <family val="2"/>
      </rPr>
      <t>3</t>
    </r>
  </si>
  <si>
    <t>g-mol / day</t>
  </si>
  <si>
    <r>
      <t xml:space="preserve">m </t>
    </r>
    <r>
      <rPr>
        <vertAlign val="superscript"/>
        <sz val="8"/>
        <color indexed="9"/>
        <rFont val="Arial"/>
        <family val="2"/>
      </rPr>
      <t>3</t>
    </r>
    <r>
      <rPr>
        <sz val="8"/>
        <color indexed="9"/>
        <rFont val="Arial"/>
        <family val="2"/>
      </rPr>
      <t xml:space="preserve"> / sec</t>
    </r>
  </si>
  <si>
    <t>bar</t>
  </si>
  <si>
    <t>Cal / min</t>
  </si>
  <si>
    <t>W . sec</t>
  </si>
  <si>
    <t>mg</t>
  </si>
  <si>
    <r>
      <t>km</t>
    </r>
    <r>
      <rPr>
        <vertAlign val="superscript"/>
        <sz val="8"/>
        <color indexed="9"/>
        <rFont val="Arial"/>
        <family val="2"/>
      </rPr>
      <t>2</t>
    </r>
  </si>
  <si>
    <t>lb / gal</t>
  </si>
  <si>
    <t>gr / cm . sec</t>
  </si>
  <si>
    <t>kg / day</t>
  </si>
  <si>
    <t>micron</t>
  </si>
  <si>
    <t>lit</t>
  </si>
  <si>
    <r>
      <t xml:space="preserve">m </t>
    </r>
    <r>
      <rPr>
        <vertAlign val="superscript"/>
        <sz val="8"/>
        <color indexed="9"/>
        <rFont val="Arial"/>
        <family val="2"/>
      </rPr>
      <t>3</t>
    </r>
    <r>
      <rPr>
        <sz val="8"/>
        <color indexed="9"/>
        <rFont val="Arial"/>
        <family val="2"/>
      </rPr>
      <t xml:space="preserve"> / min</t>
    </r>
  </si>
  <si>
    <t>mbar</t>
  </si>
  <si>
    <t>Watt</t>
  </si>
  <si>
    <r>
      <t>ft</t>
    </r>
    <r>
      <rPr>
        <vertAlign val="superscript"/>
        <sz val="8"/>
        <color indexed="9"/>
        <rFont val="Arial"/>
        <family val="2"/>
      </rPr>
      <t>3</t>
    </r>
    <r>
      <rPr>
        <sz val="8"/>
        <color indexed="9"/>
        <rFont val="Arial"/>
        <family val="2"/>
      </rPr>
      <t xml:space="preserve"> . lb</t>
    </r>
    <r>
      <rPr>
        <vertAlign val="subscript"/>
        <sz val="8"/>
        <color indexed="9"/>
        <rFont val="Arial"/>
        <family val="2"/>
      </rPr>
      <t>f</t>
    </r>
    <r>
      <rPr>
        <sz val="8"/>
        <color indexed="9"/>
        <rFont val="Arial"/>
        <family val="2"/>
      </rPr>
      <t xml:space="preserve"> / in</t>
    </r>
    <r>
      <rPr>
        <vertAlign val="superscript"/>
        <sz val="8"/>
        <color indexed="9"/>
        <rFont val="Arial"/>
        <family val="2"/>
      </rPr>
      <t>2</t>
    </r>
  </si>
  <si>
    <t>grain</t>
  </si>
  <si>
    <t>hectare</t>
  </si>
  <si>
    <t>lb / bbl</t>
  </si>
  <si>
    <t>kg / m . hr</t>
  </si>
  <si>
    <t>L ton / day</t>
  </si>
  <si>
    <r>
      <t xml:space="preserve">cm </t>
    </r>
    <r>
      <rPr>
        <vertAlign val="superscript"/>
        <sz val="8"/>
        <color indexed="9"/>
        <rFont val="Arial"/>
        <family val="2"/>
      </rPr>
      <t>3</t>
    </r>
  </si>
  <si>
    <r>
      <t xml:space="preserve">m </t>
    </r>
    <r>
      <rPr>
        <vertAlign val="superscript"/>
        <sz val="8"/>
        <color indexed="9"/>
        <rFont val="Arial"/>
        <family val="2"/>
      </rPr>
      <t>3</t>
    </r>
    <r>
      <rPr>
        <sz val="8"/>
        <color indexed="9"/>
        <rFont val="Arial"/>
        <family val="2"/>
      </rPr>
      <t xml:space="preserve"> / hr</t>
    </r>
  </si>
  <si>
    <r>
      <t>kg / cm</t>
    </r>
    <r>
      <rPr>
        <vertAlign val="superscript"/>
        <sz val="8"/>
        <color indexed="9"/>
        <rFont val="Arial"/>
        <family val="2"/>
      </rPr>
      <t>2</t>
    </r>
  </si>
  <si>
    <t>Joule / sec</t>
  </si>
  <si>
    <t>lit . atm</t>
  </si>
  <si>
    <t>carat</t>
  </si>
  <si>
    <t>are</t>
  </si>
  <si>
    <r>
      <t>oz / in</t>
    </r>
    <r>
      <rPr>
        <vertAlign val="superscript"/>
        <sz val="8"/>
        <color indexed="9"/>
        <rFont val="Arial"/>
        <family val="2"/>
      </rPr>
      <t>3</t>
    </r>
  </si>
  <si>
    <t>S ton / day</t>
  </si>
  <si>
    <t>Volumetric Flowrate</t>
  </si>
  <si>
    <t>Density</t>
  </si>
  <si>
    <t>Heat Transfer Coefficient</t>
  </si>
  <si>
    <t>ml</t>
  </si>
  <si>
    <t>lit / sec</t>
  </si>
  <si>
    <t>kPa</t>
  </si>
  <si>
    <r>
      <t>ft . lb</t>
    </r>
    <r>
      <rPr>
        <vertAlign val="subscript"/>
        <sz val="8"/>
        <color indexed="9"/>
        <rFont val="Arial"/>
        <family val="2"/>
      </rPr>
      <t>f</t>
    </r>
    <r>
      <rPr>
        <sz val="8"/>
        <color indexed="9"/>
        <rFont val="Arial"/>
        <family val="2"/>
      </rPr>
      <t xml:space="preserve"> / sec</t>
    </r>
  </si>
  <si>
    <t>slug</t>
  </si>
  <si>
    <t>acre</t>
  </si>
  <si>
    <t>oz / gal</t>
  </si>
  <si>
    <t>M ton / day</t>
  </si>
  <si>
    <t>lit / min</t>
  </si>
  <si>
    <t>Pa</t>
  </si>
  <si>
    <r>
      <t>ft . lb</t>
    </r>
    <r>
      <rPr>
        <vertAlign val="subscript"/>
        <sz val="8"/>
        <color indexed="9"/>
        <rFont val="Arial"/>
        <family val="2"/>
      </rPr>
      <t>f</t>
    </r>
    <r>
      <rPr>
        <sz val="8"/>
        <color indexed="9"/>
        <rFont val="Arial"/>
        <family val="2"/>
      </rPr>
      <t xml:space="preserve"> / min</t>
    </r>
  </si>
  <si>
    <t>SG  (liquid)</t>
  </si>
  <si>
    <t>lit / hr</t>
  </si>
  <si>
    <t>lit / day</t>
  </si>
  <si>
    <t>Pressure</t>
  </si>
  <si>
    <t>Area</t>
  </si>
  <si>
    <t>Thermal Conductivity</t>
  </si>
  <si>
    <t>m²</t>
  </si>
  <si>
    <t xml:space="preserve">فبي حال كانت قيمة قطر الأنبوب غير متوفرة في الأسواق
 يتم تعديل قيمة السرعة للحصول على القطر المناسب </t>
  </si>
  <si>
    <r>
      <t>m</t>
    </r>
    <r>
      <rPr>
        <b/>
        <sz val="16"/>
        <color theme="1"/>
        <rFont val="Calibri"/>
        <family val="2"/>
      </rPr>
      <t>³</t>
    </r>
    <r>
      <rPr>
        <b/>
        <sz val="16"/>
        <color theme="1"/>
        <rFont val="Calibri"/>
        <family val="2"/>
        <scheme val="minor"/>
      </rPr>
      <t>/hr</t>
    </r>
  </si>
  <si>
    <t>يتم حساب هذه القيمة بالاعتماد على تقريب قيمة قطر الأنبوب بالحساب - كما يمكن أدخال هذه القيمة يدوياً</t>
  </si>
  <si>
    <r>
      <t>m</t>
    </r>
    <r>
      <rPr>
        <b/>
        <sz val="16"/>
        <color theme="1"/>
        <rFont val="Calibri"/>
        <family val="2"/>
      </rPr>
      <t>²</t>
    </r>
  </si>
  <si>
    <t>الضاغط الستاتيكي هو فرق الارتفاع بين أعلى نقطة تصل أليها المياه التي يتم ضخها و نقطة سطح المياه في البئر ( أو خزان المياه السفلي )</t>
  </si>
  <si>
    <t>Q ( VLOW  )</t>
  </si>
  <si>
    <t>1 PH Motors</t>
  </si>
  <si>
    <t>3PH Motors</t>
  </si>
  <si>
    <t xml:space="preserve">مقطع الكبل </t>
  </si>
  <si>
    <t>Amp</t>
  </si>
  <si>
    <t xml:space="preserve">التيار الأعظمي </t>
  </si>
  <si>
    <t xml:space="preserve">استطاعة المحرك الأعظمية 
( ثلاثي الطور ) </t>
  </si>
  <si>
    <r>
      <t>mm</t>
    </r>
    <r>
      <rPr>
        <b/>
        <sz val="11"/>
        <color theme="1"/>
        <rFont val="Calibri"/>
        <family val="2"/>
      </rPr>
      <t>²</t>
    </r>
  </si>
  <si>
    <t xml:space="preserve">جدول اقطار الكابلات النظامية و قيمة التيار الأعظمي لهذه الكابلات و استطاعة المحركات الأعظمية التي يمكن تغذية المحركات باستخدامها </t>
  </si>
  <si>
    <t>استطاعة المحرك الأعظمية
أحادي الطور</t>
  </si>
  <si>
    <t xml:space="preserve">الضاغط الستاتيكي </t>
  </si>
  <si>
    <t>m H2o</t>
  </si>
  <si>
    <t xml:space="preserve">الضاغط الكلي </t>
  </si>
  <si>
    <t>لوحة الإدخال</t>
  </si>
  <si>
    <t>H sys</t>
  </si>
  <si>
    <t>inch</t>
  </si>
  <si>
    <t xml:space="preserve">قيمة التدفق </t>
  </si>
  <si>
    <t>ضاغط النظام - من البرنامج</t>
  </si>
  <si>
    <t xml:space="preserve">ضاغط المضخة - ادخال </t>
  </si>
  <si>
    <t>----------</t>
  </si>
  <si>
    <r>
      <t xml:space="preserve">يتم ادخال فقط الخلايا المحددة باللون البرتقالي أما باقي الخلايا فيتم حسابها آليا ( الاستطاعة للمحرك - طول الكابل - قطر الكابل )
</t>
    </r>
    <r>
      <rPr>
        <b/>
        <sz val="12"/>
        <color rgb="FFFF0000"/>
        <rFont val="Calibri"/>
        <family val="2"/>
        <scheme val="minor"/>
      </rPr>
      <t>يتم اختيار مقطع الكابل بحيث يحقق قيمة النسبة المئوية لهبوط الجهد النسبي في الكابل (%ΔV)  اقل من ثلاثة بالمئة ( وخلافة يجب زيادة مقطع الكبل )</t>
    </r>
    <r>
      <rPr>
        <b/>
        <sz val="12"/>
        <color theme="1"/>
        <rFont val="Calibri"/>
        <family val="2"/>
        <scheme val="minor"/>
      </rPr>
      <t xml:space="preserve">
بالنسبة للكابلات القصيرة يتم التأكد أيضاً من شرط كفاية قطر الكبل للتيار الأسمي للمحرك ( يتم ايجاد أصغر قطر كبل مناسب للمحرك من الجدول المجاور ) </t>
    </r>
  </si>
  <si>
    <t xml:space="preserve">ضياعات الاحتكاك الكلية للخط : متر عمود ماء </t>
  </si>
  <si>
    <t>سرعة المياه ضمن الأنبوب ( متر بالثانية )</t>
  </si>
  <si>
    <t>حساب عدد ساعات التشغيل اليومية اللازمة لمحطة الضخ</t>
  </si>
  <si>
    <t>L/DAY.Person</t>
  </si>
  <si>
    <t>حساب استهلاك مجموعة التوليد من الوقود</t>
  </si>
  <si>
    <t xml:space="preserve">يتم إدخال قيم هذا السطر من كتلوك المضخة </t>
  </si>
  <si>
    <t xml:space="preserve">يتم حساب قيم هذا السطر اتوماتيكيا من البرنامج </t>
  </si>
  <si>
    <r>
      <t xml:space="preserve">يتم ادخال فقط الخلايا المحددة </t>
    </r>
    <r>
      <rPr>
        <b/>
        <sz val="14"/>
        <color theme="4" tint="-0.499984740745262"/>
        <rFont val="Calibri"/>
        <family val="2"/>
        <scheme val="minor"/>
      </rPr>
      <t>باللون البرتقالي</t>
    </r>
    <r>
      <rPr>
        <b/>
        <sz val="14"/>
        <color theme="3"/>
        <rFont val="Calibri"/>
        <family val="2"/>
        <scheme val="minor"/>
      </rPr>
      <t xml:space="preserve"> أما باقي الخلايا فيتم حسابها آليا
تصميم : م هيثم بكور  - هدية للأخوة العاملين في مجال المياه و الإصحاح البيئي</t>
    </r>
  </si>
  <si>
    <t>Q ( VLOW -m³/day )</t>
  </si>
  <si>
    <t>Q ( VLOW -m³/hr )</t>
  </si>
  <si>
    <t>Actual Power of generator</t>
  </si>
  <si>
    <t>$ USD</t>
  </si>
  <si>
    <t xml:space="preserve">التدفق الفعلي للمضخة المطلوبة سواء كانت مضخة غاطسة أو مضخة أرضية أو عمودية </t>
  </si>
  <si>
    <t>طول خط  الضخ من  مكان تركيب المضخة حتى نقطة التخديم سواء</t>
  </si>
  <si>
    <t xml:space="preserve">يتعلق بنوع الأنابيب يتم  تحديد قيمته من صفحة ضياعات الاحتكاك الطولية ضمن البرنامج </t>
  </si>
  <si>
    <t xml:space="preserve">الضاغط الستاتيكي هو فرق الارتفاع بين نقطة سطح المياه في البئر ( أو خزان المياه السفلي ) و  أعلى نقطة تصل أليها المياه التي يتم ضخها  </t>
  </si>
  <si>
    <t xml:space="preserve">عد السكان الذين سيتم تخديمهم من  المشروع </t>
  </si>
  <si>
    <t>كمية الاستهلاك اليومي للفرد ( لتر باليوم )</t>
  </si>
  <si>
    <t xml:space="preserve">USD per liter </t>
  </si>
  <si>
    <t xml:space="preserve">سعر لتر الوقود في منطقة الدراسة </t>
  </si>
  <si>
    <t xml:space="preserve">طول الكبل الكهربائي للمضخة </t>
  </si>
  <si>
    <t xml:space="preserve">يتم حساب قيمتها من قبل البرنامج في صفحة  ضياعات الاحتكاك الطولية </t>
  </si>
  <si>
    <t>يتم حسابها في صفحة ضياعات الاحتكاك المحلية ضمن البرنامج ( تم فرضها بأنها تساوي 10% من ضياعات الاحتكاك الطولية )</t>
  </si>
  <si>
    <t xml:space="preserve">الضاغط الكلي 
Htot  : HEAD (m H2O) </t>
  </si>
  <si>
    <t xml:space="preserve">يتم ملئ الخلايا باللون البرتقالي ضمن الجدول فقط عند  عدم إدخالها في لوحة الإدخال الأساسية </t>
  </si>
  <si>
    <t xml:space="preserve">الضاغط الكلي للنظام الذي يتم الضخ عليه / إدخال يدوي </t>
  </si>
  <si>
    <t xml:space="preserve">في حال تم إدخال المعلومات في لوحة الإدخال الأساسية سيتم تحديثها أتوماتيكياً في هذه الصفحة و كافة صفحات البرنامج </t>
  </si>
  <si>
    <t>التدفق الفعلي للمضخة / حساب أتوماتيكي</t>
  </si>
  <si>
    <t>الاستطاعة الميكانيكية المطلوبة على محور المضخة  / حساب أتوماتيكي</t>
  </si>
  <si>
    <t>استطاعة المحرك الكهربائي  / حساب أتوماتيكي</t>
  </si>
  <si>
    <t>استطاعة مجموعة التوليد المطلوبة في حال كان الإقلاع أوتوترانس أو سوفت ستار</t>
  </si>
  <si>
    <t>Efficiency of pump</t>
  </si>
  <si>
    <t>%</t>
  </si>
  <si>
    <t xml:space="preserve">كفاءة المضخة / إدخال يدوي </t>
  </si>
  <si>
    <t xml:space="preserve">التدفق الفعلي للمضخة / إدخال يدوي </t>
  </si>
  <si>
    <t>Efficiency of pumpmotor</t>
  </si>
  <si>
    <t xml:space="preserve">كفاءة محرك المضخة / إدخال يدوي </t>
  </si>
  <si>
    <t>Liter/Kwh</t>
  </si>
  <si>
    <t>Fuel consumption per Kwh</t>
  </si>
  <si>
    <t xml:space="preserve">الاستطاعة الفعلية لمجموعة التوليد  / إدخال يدوي </t>
  </si>
  <si>
    <t xml:space="preserve">استهلاك مجموعة التوليد لكل كيلو واط ساعي  / إدخال يدوي </t>
  </si>
  <si>
    <t xml:space="preserve">عدد ساعات التشغيل اليومية لمجموعة التوليد  / إدخال يدوي </t>
  </si>
  <si>
    <t xml:space="preserve">سعر لتر الوقود الواحد  / إدخال يدوي </t>
  </si>
  <si>
    <t>الاستهلاك الساعي الفعلي من الوقود / حساب أتوماتيكي</t>
  </si>
  <si>
    <t>كمية الوقود المستهلكة يوميا / حساب أتوماتيكي</t>
  </si>
  <si>
    <t>كمية الوقود المستهلك شهريا  / حساب أتوماتيكي</t>
  </si>
  <si>
    <t>كلفة التشغيل الشهرية لمجموعة التوليد / حساب أتوماتيكي</t>
  </si>
  <si>
    <t>$ / liter</t>
  </si>
  <si>
    <t xml:space="preserve">ثابت هايزن ويليامز ( يؤخذ من الجداول المجاورة ) / إدخال يدوي </t>
  </si>
  <si>
    <t xml:space="preserve">تدفق المياه ضمن الأنبوب ( مترمكعب بالساعة ) / إدخال يدوي </t>
  </si>
  <si>
    <t xml:space="preserve">القطر الداخلي للأنبوب ( أنش ) / إدخال يدوي </t>
  </si>
  <si>
    <t>حساب هبوط الجهد في الكابلات للمحركات أحادية الطور</t>
  </si>
  <si>
    <t>حساب هبوط الجهد في الكابلات للمحركات ثلاثية الطور</t>
  </si>
  <si>
    <t xml:space="preserve">طول الأنبوب ( خط الضخ ) / إدخال يدوي </t>
  </si>
  <si>
    <t>Temperature</t>
  </si>
  <si>
    <t>[°C]</t>
  </si>
  <si>
    <t>[ m H2O ]</t>
  </si>
  <si>
    <t>[atm]</t>
  </si>
  <si>
    <t>[psi]</t>
  </si>
  <si>
    <t xml:space="preserve">موقع نت رائع لحساب ضياعات الاحتكاك الطولية 
و المحلية في آن واحد </t>
  </si>
  <si>
    <t>Suction Elevation</t>
  </si>
  <si>
    <t>Vapor pressure</t>
  </si>
  <si>
    <t>Length of suction pipe</t>
  </si>
  <si>
    <t>Inside diameter</t>
  </si>
  <si>
    <t>Inch</t>
  </si>
  <si>
    <t xml:space="preserve">C = Hazen-Williams roughness constant </t>
  </si>
  <si>
    <t xml:space="preserve">foot valve and strainer/ صمام سحب مع مصفاة </t>
  </si>
  <si>
    <t>الطول المكافئ</t>
  </si>
  <si>
    <t xml:space="preserve">عدد القطع </t>
  </si>
  <si>
    <t>الطول المكافئ الكلي</t>
  </si>
  <si>
    <t>الأكسسوار المركب على خط السحب</t>
  </si>
  <si>
    <t xml:space="preserve">كوع 90 درجة ذو نصف قطر أنحناء كبير </t>
  </si>
  <si>
    <t xml:space="preserve">كوع 90 درجة ذو نصف قطر أنحناء طبيعي </t>
  </si>
  <si>
    <t xml:space="preserve">كوع 90 درجة ذو نصف قطر أنحناء صغير </t>
  </si>
  <si>
    <t>نتائج حساب قيمة NPSHa</t>
  </si>
  <si>
    <t>Friction loss</t>
  </si>
  <si>
    <t>NPSHa</t>
  </si>
  <si>
    <t>أكسسوارات  أخر ى</t>
  </si>
  <si>
    <t>Vapor pressure
Water saturation pressure</t>
  </si>
  <si>
    <t>ثابت هايزن ويليامز  لأنبوب السحب</t>
  </si>
  <si>
    <t>قطر أنبوب السحب بالأنش</t>
  </si>
  <si>
    <t>طول أنبوب السحب</t>
  </si>
  <si>
    <t>درجة حرارة المياه التصميمية</t>
  </si>
  <si>
    <t>ضغط بخار الماء عند درجة حرارة المياه التصميمة</t>
  </si>
  <si>
    <t xml:space="preserve">معلومات الأكسسوارات المركبة على خط السحب </t>
  </si>
  <si>
    <t xml:space="preserve">الجدول رقم (2): الطول المكافئ بالمتر لكل أكسسوار مركب على خط السحب للمضخة </t>
  </si>
  <si>
    <t xml:space="preserve">الجدول رقم (1) : ضغط بخار الماء عند درجات الحرارة المختلفة </t>
  </si>
  <si>
    <t>[kPa]</t>
  </si>
  <si>
    <t>أرتفاع السحب
( فرق الارتفاع بين سطح الماء و مدخل المضخة)</t>
  </si>
  <si>
    <t>m/s</t>
  </si>
  <si>
    <t xml:space="preserve"> Velocity of water </t>
  </si>
  <si>
    <t>ضياعات الاحتكاك في خط السحب</t>
  </si>
  <si>
    <t>أرتفاع السحب الأيجابي المطلق المتوفر عند مدخل المضخة</t>
  </si>
  <si>
    <t>سرعة المياه في خط السحب للمضخة</t>
  </si>
  <si>
    <r>
      <t xml:space="preserve">يجب أن تتحقق العلاقة التالية :    </t>
    </r>
    <r>
      <rPr>
        <b/>
        <sz val="20"/>
        <color rgb="FFFF0000"/>
        <rFont val="Calibri"/>
        <family val="2"/>
        <scheme val="minor"/>
      </rPr>
      <t>NPSHa &gt; NPSHr + 1m</t>
    </r>
  </si>
  <si>
    <t xml:space="preserve">NPSHr      قيمة ضغط السحب الأيجابي المطلق المطلوب عند مدخل المضخة   </t>
  </si>
  <si>
    <t xml:space="preserve">NPSHa      قيمة ضغط السحب الأيجابي المطلق المتوفر  عند مدخل المضخة   </t>
  </si>
  <si>
    <t>حساب قيمة NPSHa  ( ضغط السحب الأيجابي المطلق المتوفر عند مدخل المضخة )</t>
  </si>
  <si>
    <t>Altitude</t>
  </si>
  <si>
    <t>ارتفاع موقع تركيب المضخة عن مستوى سطح البحر</t>
  </si>
  <si>
    <r>
      <t xml:space="preserve">NPSHa = Atmospheric pressure [m] - Suction Elevation [m] - Friction loss [m] - </t>
    </r>
    <r>
      <rPr>
        <b/>
        <sz val="14"/>
        <color theme="3" tint="0.39997558519241921"/>
        <rFont val="Calibri"/>
        <family val="2"/>
        <scheme val="minor"/>
      </rPr>
      <t>Vapor pressure [m]</t>
    </r>
  </si>
  <si>
    <t>Atmospheric pressure</t>
  </si>
  <si>
    <t>قيمة الضغط الجوي في مكان تركيب المضخة</t>
  </si>
  <si>
    <t>ضياعات الاحتكاك</t>
  </si>
  <si>
    <t xml:space="preserve">التدفق ضمن الأنبوب ( متر مكعب بالساعة) / إدخال يدوي
Water florate inside pipe /Input </t>
  </si>
  <si>
    <t xml:space="preserve">سرعة الجريان المفروضة / إدخال يدوي
Water velocity / Input </t>
  </si>
  <si>
    <t>التدفق( متر مكعب بالثانية ) / حساب أتوماتيكي
Water florate inside pipe / Auto</t>
  </si>
  <si>
    <t>قطر الأنبوب بالحساب / حساب أتوماتيكي
Pipe diameter / Auto</t>
  </si>
  <si>
    <t xml:space="preserve">حساب قطر الأنبوب المناسب
Pipe diameter sizing </t>
  </si>
  <si>
    <t>مساحة المقطع الفعلي  ( متر مربع ) / حساب أتوماتيكي
Actual pipe area / Auto</t>
  </si>
  <si>
    <t>مساحة المقطع ( متر مربع ) / حساب أتوماتيكي
Pipe area / Auto</t>
  </si>
  <si>
    <t>نصف قطر الأنبوب ( متر ) / حساب أتوماتيكي
Pipe radius / Auto</t>
  </si>
  <si>
    <t>نصف قطر الأنبوب الفعلي ( متر ) / حساب أتوماتيكي
Actual pipe radius / Auto</t>
  </si>
  <si>
    <t>سرعة الجريان الفعلية ضمن الأنبوب / حساب أتوماتيكي
Actual water velocity / Auto</t>
  </si>
  <si>
    <t>يجب أدخال قيمة سرعة جريان أفتراضية مناسبة
 تتراوح السرعة المثالية ضمن الأنابيب من 0.5 حتى  1.5 متر بالثانية 
Ideal value must be between 0.5 &amp;1.5 [m/sec]</t>
  </si>
  <si>
    <t>قطر الأنبوب المقترح (الفعلي) / حساب أتوماتيكي
Actual pipe diameter / Auto</t>
  </si>
  <si>
    <t>طول خط الضخ / Pipe length</t>
  </si>
  <si>
    <t>الضاغط الستاتيكي / Static head</t>
  </si>
  <si>
    <t>ثابت هايزن ويليامز / Hazen-Williams constant</t>
  </si>
  <si>
    <t xml:space="preserve">الطول المكافئ للضياعات المحلية
Minor losses in equivalent meter of pipe   </t>
  </si>
  <si>
    <t>القطر الداخلي للأنبوب
 Inside Diameter of pipe</t>
  </si>
  <si>
    <t>Unit</t>
  </si>
  <si>
    <t>Value</t>
  </si>
  <si>
    <t>Item</t>
  </si>
  <si>
    <t>Q</t>
  </si>
  <si>
    <r>
      <t xml:space="preserve">H </t>
    </r>
    <r>
      <rPr>
        <sz val="11"/>
        <color theme="1"/>
        <rFont val="Calibri"/>
        <family val="2"/>
        <scheme val="minor"/>
      </rPr>
      <t>pump</t>
    </r>
  </si>
  <si>
    <t xml:space="preserve">التدفق / Flowrate </t>
  </si>
  <si>
    <t>ثابت هايزن ويليامز/ C</t>
  </si>
  <si>
    <t>عدد السكان / Population</t>
  </si>
  <si>
    <t xml:space="preserve">احتياج يومي للشخص/ Per capita share </t>
  </si>
  <si>
    <t>سعر لتر الوقود / Fuel price</t>
  </si>
  <si>
    <t>طول الكبل الكهربائي / Cable lingth</t>
  </si>
  <si>
    <t>الضياعات الخطية في خط الضخ / hf</t>
  </si>
  <si>
    <t>الضياعات المحلية في الخط الضخ / hm</t>
  </si>
  <si>
    <t xml:space="preserve">1- يتم في هذه الصفحة إدخال المعلومات المطلوبة للمشروع بشكل كامل حيث تم ربط كافة الصفحات في البرنامج برمجياً ( في هذه الحالة يتم إدخل البيانات فقط ضمن جدول لوحة الإدخال الأساسية و فقط للخلايا الملونة باللون البرتقالي أما باقي الخلايا فيتم حسابها من قبل البرنامج) .
2- يمكن العمل على كل صفحة ضمن البرنامج بشكل منفصل و ذلك عند الحاجة لحساب أي قيمة محددة ضمن البرنامج ( و يتم في هذه الحالة أيضاً فقط ملئ الخلايا باللون البرتقالي ) .
</t>
  </si>
  <si>
    <t>1- On this page, the information required for the project is fully entered, as all pages in the program have been linked programmatically (in this case the data is entered only in the main input panel table and only for the orange-colored cells, while the rest of the cells are calculated by the program).
2- You can work on each page within the program separately, when you need to calculate any specific value within the program (and in this case also only the cells are filled with orange).</t>
  </si>
  <si>
    <t>Desgined By Eng. Haytham Bakour</t>
  </si>
  <si>
    <t xml:space="preserve">لوحة الإدخال الأساسية  / The main input panel </t>
  </si>
  <si>
    <t>عدد السكان / population</t>
  </si>
  <si>
    <t>احتياج يومي للشخص / Per capita share</t>
  </si>
  <si>
    <t>احتياج يومي كلي للسكان - لتر  / total amout of water</t>
  </si>
  <si>
    <t>احتياج يومي كلي للسكان - م3   / total amout of water</t>
  </si>
  <si>
    <t>تدفق المضخات / Pump flowrate</t>
  </si>
  <si>
    <t>عدد ساعات التشغيل اليومية  اللازمة /
 Number of the daily  operation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</si>
</sst>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00"/>
    <numFmt numFmtId="167" formatCode="#,##0.0"/>
  </numFmts>
  <fonts count="97"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8"/>
      <color theme="1"/>
      <name val="Calibri"/>
      <family val="2"/>
      <scheme val="minor"/>
    </font>
    <font>
      <b/>
      <sz val="16"/>
      <color theme="1"/>
      <name val="Calibri"/>
      <family val="2"/>
      <scheme val="minor"/>
    </font>
    <font>
      <sz val="14"/>
      <color theme="1"/>
      <name val="Calibri"/>
      <family val="2"/>
      <scheme val="minor"/>
    </font>
    <font>
      <b/>
      <sz val="14"/>
      <color theme="1"/>
      <name val="Calibri"/>
      <family val="2"/>
      <scheme val="minor"/>
    </font>
    <font>
      <b/>
      <sz val="14"/>
      <color rgb="FFFF0000"/>
      <name val="Calibri"/>
      <family val="2"/>
      <scheme val="minor"/>
    </font>
    <font>
      <sz val="14"/>
      <color rgb="FFFF0000"/>
      <name val="Calibri"/>
      <family val="2"/>
      <scheme val="minor"/>
    </font>
    <font>
      <sz val="11"/>
      <color theme="1"/>
      <name val="Calibri"/>
      <family val="2"/>
      <charset val="178"/>
      <scheme val="minor"/>
    </font>
    <font>
      <sz val="11"/>
      <color indexed="8"/>
      <name val="Calibri"/>
      <family val="2"/>
    </font>
    <font>
      <sz val="11"/>
      <color theme="1"/>
      <name val="Arial"/>
      <family val="2"/>
      <charset val="178"/>
    </font>
    <font>
      <sz val="11"/>
      <color indexed="8"/>
      <name val="Arial"/>
      <family val="2"/>
      <charset val="178"/>
    </font>
    <font>
      <sz val="18"/>
      <color theme="1"/>
      <name val="Calibri"/>
      <family val="2"/>
      <charset val="178"/>
      <scheme val="minor"/>
    </font>
    <font>
      <sz val="11"/>
      <color rgb="FFFF0000"/>
      <name val="Calibri"/>
      <family val="2"/>
      <charset val="178"/>
      <scheme val="minor"/>
    </font>
    <font>
      <b/>
      <sz val="12"/>
      <color theme="1"/>
      <name val="Calibri"/>
      <family val="2"/>
    </font>
    <font>
      <b/>
      <sz val="12"/>
      <color rgb="FF000000"/>
      <name val="Arial"/>
      <family val="2"/>
    </font>
    <font>
      <b/>
      <sz val="16"/>
      <color rgb="FFFF0000"/>
      <name val="Calibri"/>
      <family val="2"/>
      <scheme val="minor"/>
    </font>
    <font>
      <sz val="9"/>
      <color indexed="81"/>
      <name val="Tahoma"/>
      <family val="2"/>
    </font>
    <font>
      <b/>
      <sz val="9"/>
      <color indexed="81"/>
      <name val="Tahoma"/>
      <family val="2"/>
    </font>
    <font>
      <u/>
      <sz val="10"/>
      <color indexed="12"/>
      <name val="Arial"/>
      <family val="2"/>
    </font>
    <font>
      <b/>
      <u/>
      <sz val="12"/>
      <color indexed="12"/>
      <name val="Arial"/>
      <family val="2"/>
    </font>
    <font>
      <sz val="10"/>
      <name val="Arial"/>
      <family val="2"/>
    </font>
    <font>
      <b/>
      <sz val="12"/>
      <name val="Arial"/>
      <family val="2"/>
    </font>
    <font>
      <b/>
      <sz val="10"/>
      <name val="Arial"/>
      <family val="2"/>
    </font>
    <font>
      <u/>
      <sz val="10"/>
      <name val="Arial"/>
      <family val="2"/>
    </font>
    <font>
      <u/>
      <sz val="10"/>
      <color theme="1"/>
      <name val="Arial"/>
      <family val="2"/>
    </font>
    <font>
      <sz val="11"/>
      <name val="Arial"/>
      <family val="2"/>
    </font>
    <font>
      <u/>
      <sz val="11"/>
      <name val="Arial"/>
      <family val="2"/>
    </font>
    <font>
      <u/>
      <sz val="14"/>
      <color indexed="12"/>
      <name val="Arial"/>
      <family val="2"/>
    </font>
    <font>
      <sz val="16"/>
      <name val="Arial"/>
      <family val="2"/>
    </font>
    <font>
      <b/>
      <sz val="16"/>
      <name val="Arial"/>
      <family val="2"/>
    </font>
    <font>
      <b/>
      <sz val="11"/>
      <name val="Arial"/>
      <family val="2"/>
    </font>
    <font>
      <sz val="12"/>
      <name val="Arial"/>
      <family val="2"/>
    </font>
    <font>
      <b/>
      <sz val="13.5"/>
      <color theme="1"/>
      <name val="Calibri"/>
      <family val="2"/>
      <scheme val="minor"/>
    </font>
    <font>
      <b/>
      <sz val="10"/>
      <color theme="1"/>
      <name val="Calibri"/>
      <family val="2"/>
      <scheme val="minor"/>
    </font>
    <font>
      <sz val="10"/>
      <color theme="1"/>
      <name val="Calibri"/>
      <family val="2"/>
      <scheme val="minor"/>
    </font>
    <font>
      <b/>
      <u/>
      <sz val="11"/>
      <name val="Times New Roman"/>
      <family val="1"/>
    </font>
    <font>
      <sz val="10"/>
      <name val="Times New Roman"/>
      <family val="1"/>
    </font>
    <font>
      <b/>
      <sz val="16"/>
      <color theme="3" tint="0.39997558519241921"/>
      <name val="Calibri"/>
      <family val="2"/>
      <scheme val="minor"/>
    </font>
    <font>
      <b/>
      <sz val="12"/>
      <color rgb="FF0070C0"/>
      <name val="Calibri"/>
      <family val="2"/>
      <scheme val="minor"/>
    </font>
    <font>
      <b/>
      <sz val="16"/>
      <color rgb="FF0070C0"/>
      <name val="Calibri"/>
      <family val="2"/>
      <scheme val="minor"/>
    </font>
    <font>
      <b/>
      <sz val="12"/>
      <color rgb="FFC00000"/>
      <name val="Calibri"/>
      <family val="2"/>
      <scheme val="minor"/>
    </font>
    <font>
      <b/>
      <sz val="11"/>
      <color theme="1"/>
      <name val="Calibri"/>
      <family val="2"/>
    </font>
    <font>
      <b/>
      <sz val="14"/>
      <color theme="1"/>
      <name val="Calibri"/>
      <family val="2"/>
    </font>
    <font>
      <sz val="11"/>
      <color theme="1"/>
      <name val="Calibri"/>
      <family val="2"/>
    </font>
    <font>
      <sz val="12"/>
      <color theme="1"/>
      <name val="Calibri"/>
      <family val="2"/>
    </font>
    <font>
      <b/>
      <sz val="12"/>
      <color rgb="FFFF0000"/>
      <name val="Calibri"/>
      <family val="2"/>
      <scheme val="minor"/>
    </font>
    <font>
      <b/>
      <sz val="11"/>
      <color rgb="FFFF0000"/>
      <name val="Calibri"/>
      <family val="2"/>
      <scheme val="minor"/>
    </font>
    <font>
      <sz val="18"/>
      <color theme="1"/>
      <name val="Calibri"/>
      <family val="2"/>
      <scheme val="minor"/>
    </font>
    <font>
      <b/>
      <sz val="16"/>
      <color theme="1"/>
      <name val="Sakkal Majalla"/>
    </font>
    <font>
      <b/>
      <sz val="16"/>
      <color theme="0"/>
      <name val="Sakkal Majalla"/>
    </font>
    <font>
      <b/>
      <sz val="16"/>
      <color theme="0"/>
      <name val="Calibri"/>
      <family val="2"/>
    </font>
    <font>
      <b/>
      <sz val="18"/>
      <color theme="0"/>
      <name val="Sakkal Majalla"/>
    </font>
    <font>
      <b/>
      <sz val="12"/>
      <color rgb="FF7030A0"/>
      <name val="Arial"/>
      <family val="2"/>
    </font>
    <font>
      <sz val="10"/>
      <name val="Arial"/>
      <family val="2"/>
    </font>
    <font>
      <sz val="10"/>
      <color indexed="9"/>
      <name val="Arial"/>
      <family val="2"/>
    </font>
    <font>
      <b/>
      <sz val="9"/>
      <color theme="0"/>
      <name val="Swis721 Cn BT"/>
      <family val="2"/>
    </font>
    <font>
      <sz val="9"/>
      <color indexed="10"/>
      <name val="Arial"/>
      <family val="2"/>
    </font>
    <font>
      <sz val="10"/>
      <color indexed="10"/>
      <name val="Arial"/>
      <family val="2"/>
    </font>
    <font>
      <sz val="10"/>
      <color indexed="8"/>
      <name val="Arial"/>
      <family val="2"/>
    </font>
    <font>
      <sz val="8"/>
      <name val="Arial"/>
      <family val="2"/>
    </font>
    <font>
      <b/>
      <sz val="8"/>
      <color theme="0"/>
      <name val="Arial"/>
      <family val="2"/>
    </font>
    <font>
      <sz val="8"/>
      <color indexed="9"/>
      <name val="Arial"/>
      <family val="2"/>
    </font>
    <font>
      <sz val="8"/>
      <color theme="0"/>
      <name val="Arial"/>
      <family val="2"/>
    </font>
    <font>
      <vertAlign val="superscript"/>
      <sz val="8"/>
      <color indexed="9"/>
      <name val="Arial"/>
      <family val="2"/>
    </font>
    <font>
      <b/>
      <sz val="10"/>
      <name val="Arial"/>
      <family val="2"/>
    </font>
    <font>
      <vertAlign val="subscript"/>
      <sz val="8"/>
      <color indexed="9"/>
      <name val="Arial"/>
      <family val="2"/>
    </font>
    <font>
      <sz val="8"/>
      <color indexed="10"/>
      <name val="Arial"/>
      <family val="2"/>
    </font>
    <font>
      <sz val="10"/>
      <color rgb="FF7030A0"/>
      <name val="Arial"/>
      <family val="2"/>
    </font>
    <font>
      <b/>
      <sz val="6"/>
      <name val="Arial"/>
      <family val="2"/>
    </font>
    <font>
      <b/>
      <sz val="16"/>
      <color theme="1"/>
      <name val="Calibri"/>
      <family val="2"/>
    </font>
    <font>
      <b/>
      <sz val="12"/>
      <color theme="3"/>
      <name val="Calibri"/>
      <family val="2"/>
      <scheme val="minor"/>
    </font>
    <font>
      <b/>
      <sz val="14"/>
      <color theme="3"/>
      <name val="Calibri"/>
      <family val="2"/>
      <scheme val="minor"/>
    </font>
    <font>
      <sz val="16"/>
      <color theme="1"/>
      <name val="Calibri"/>
      <family val="2"/>
      <scheme val="minor"/>
    </font>
    <font>
      <b/>
      <sz val="22"/>
      <color rgb="FFFF0000"/>
      <name val="Calibri"/>
      <family val="2"/>
      <scheme val="minor"/>
    </font>
    <font>
      <b/>
      <sz val="16"/>
      <color rgb="FF00B050"/>
      <name val="Calibri"/>
      <family val="2"/>
      <scheme val="minor"/>
    </font>
    <font>
      <sz val="10"/>
      <color indexed="81"/>
      <name val="Tahoma"/>
      <family val="2"/>
    </font>
    <font>
      <b/>
      <sz val="10"/>
      <color indexed="81"/>
      <name val="Tahoma"/>
      <family val="2"/>
    </font>
    <font>
      <sz val="11"/>
      <color indexed="81"/>
      <name val="Tahoma"/>
      <family val="2"/>
    </font>
    <font>
      <sz val="12"/>
      <color indexed="81"/>
      <name val="Tahoma"/>
      <family val="2"/>
    </font>
    <font>
      <b/>
      <sz val="14"/>
      <color theme="4" tint="-0.499984740745262"/>
      <name val="Calibri"/>
      <family val="2"/>
      <scheme val="minor"/>
    </font>
    <font>
      <b/>
      <sz val="12"/>
      <color indexed="81"/>
      <name val="Tahoma"/>
      <family val="2"/>
    </font>
    <font>
      <b/>
      <sz val="11"/>
      <color indexed="81"/>
      <name val="Tahoma"/>
      <family val="2"/>
    </font>
    <font>
      <sz val="12"/>
      <color rgb="FF000000"/>
      <name val="Arial"/>
      <family val="2"/>
    </font>
    <font>
      <sz val="20"/>
      <color theme="1"/>
      <name val="Calibri"/>
      <family val="2"/>
      <scheme val="minor"/>
    </font>
    <font>
      <sz val="18"/>
      <color theme="0"/>
      <name val="Calibri"/>
      <family val="2"/>
      <scheme val="minor"/>
    </font>
    <font>
      <sz val="14"/>
      <color theme="0"/>
      <name val="Calibri"/>
      <family val="2"/>
      <scheme val="minor"/>
    </font>
    <font>
      <b/>
      <sz val="20"/>
      <color rgb="FFFF0000"/>
      <name val="Calibri"/>
      <family val="2"/>
      <scheme val="minor"/>
    </font>
    <font>
      <sz val="18"/>
      <color theme="5" tint="-0.249977111117893"/>
      <name val="Calibri"/>
      <family val="2"/>
      <scheme val="minor"/>
    </font>
    <font>
      <sz val="14"/>
      <color indexed="81"/>
      <name val="Tahoma"/>
      <family val="2"/>
    </font>
    <font>
      <b/>
      <sz val="14"/>
      <color indexed="81"/>
      <name val="Tahoma"/>
      <family val="2"/>
    </font>
    <font>
      <sz val="16"/>
      <color indexed="81"/>
      <name val="Tahoma"/>
      <family val="2"/>
    </font>
    <font>
      <b/>
      <sz val="16"/>
      <color indexed="81"/>
      <name val="Tahoma"/>
      <family val="2"/>
    </font>
    <font>
      <b/>
      <sz val="14"/>
      <color theme="3" tint="0.39997558519241921"/>
      <name val="Calibri"/>
      <family val="2"/>
      <scheme val="minor"/>
    </font>
    <font>
      <b/>
      <sz val="24"/>
      <color rgb="FF0070C0"/>
      <name val="Calibri"/>
      <family val="2"/>
      <scheme val="minor"/>
    </font>
  </fonts>
  <fills count="27">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FFFF"/>
        <bgColor indexed="64"/>
      </patternFill>
    </fill>
    <fill>
      <patternFill patternType="solid">
        <fgColor theme="3" tint="0.39997558519241921"/>
        <bgColor indexed="64"/>
      </patternFill>
    </fill>
    <fill>
      <patternFill patternType="solid">
        <fgColor theme="0"/>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rgb="FFEAE6E6"/>
        <bgColor indexed="64"/>
      </patternFill>
    </fill>
    <fill>
      <patternFill patternType="solid">
        <fgColor rgb="FFEEEEEE"/>
        <bgColor indexed="64"/>
      </patternFill>
    </fill>
    <fill>
      <patternFill patternType="solid">
        <fgColor rgb="FFEBEBEB"/>
        <bgColor indexed="64"/>
      </patternFill>
    </fill>
    <fill>
      <patternFill patternType="solid">
        <fgColor theme="3" tint="0.79998168889431442"/>
        <bgColor indexed="64"/>
      </patternFill>
    </fill>
    <fill>
      <patternFill patternType="solid">
        <fgColor rgb="FF00B0F0"/>
        <bgColor indexed="64"/>
      </patternFill>
    </fill>
    <fill>
      <patternFill patternType="solid">
        <fgColor rgb="FFDE1C46"/>
        <bgColor indexed="64"/>
      </patternFill>
    </fill>
    <fill>
      <patternFill patternType="solid">
        <fgColor theme="9" tint="0.59999389629810485"/>
        <bgColor indexed="64"/>
      </patternFill>
    </fill>
    <fill>
      <patternFill patternType="solid">
        <fgColor indexed="9"/>
        <bgColor indexed="64"/>
      </patternFill>
    </fill>
    <fill>
      <patternFill patternType="solid">
        <fgColor rgb="FF7030A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7" tint="0.39997558519241921"/>
        <bgColor indexed="64"/>
      </patternFill>
    </fill>
  </fills>
  <borders count="79">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auto="1"/>
      </left>
      <right/>
      <top style="thin">
        <color auto="1"/>
      </top>
      <bottom style="thin">
        <color auto="1"/>
      </bottom>
      <diagonal/>
    </border>
    <border>
      <left style="thin">
        <color auto="1"/>
      </left>
      <right/>
      <top style="thin">
        <color auto="1"/>
      </top>
      <bottom style="double">
        <color auto="1"/>
      </bottom>
      <diagonal/>
    </border>
    <border>
      <left/>
      <right style="thin">
        <color indexed="64"/>
      </right>
      <top style="thin">
        <color indexed="64"/>
      </top>
      <bottom style="thin">
        <color indexed="64"/>
      </bottom>
      <diagonal/>
    </border>
    <border>
      <left style="double">
        <color theme="1" tint="0.14993743705557422"/>
      </left>
      <right style="thin">
        <color theme="1" tint="0.14996795556505021"/>
      </right>
      <top style="thin">
        <color theme="1" tint="0.14996795556505021"/>
      </top>
      <bottom style="thin">
        <color theme="1" tint="0.14996795556505021"/>
      </bottom>
      <diagonal/>
    </border>
    <border>
      <left style="double">
        <color theme="1" tint="0.14993743705557422"/>
      </left>
      <right style="thin">
        <color theme="1" tint="0.14996795556505021"/>
      </right>
      <top style="thin">
        <color theme="1" tint="0.14996795556505021"/>
      </top>
      <bottom style="double">
        <color theme="1" tint="0.14993743705557422"/>
      </bottom>
      <diagonal/>
    </border>
    <border>
      <left/>
      <right/>
      <top/>
      <bottom style="double">
        <color auto="1"/>
      </bottom>
      <diagonal/>
    </border>
    <border>
      <left style="double">
        <color auto="1"/>
      </left>
      <right style="double">
        <color auto="1"/>
      </right>
      <top style="double">
        <color auto="1"/>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style="double">
        <color auto="1"/>
      </right>
      <top/>
      <bottom style="double">
        <color auto="1"/>
      </bottom>
      <diagonal/>
    </border>
    <border>
      <left style="double">
        <color theme="1" tint="0.14990691854609822"/>
      </left>
      <right style="double">
        <color theme="1" tint="0.14990691854609822"/>
      </right>
      <top style="double">
        <color theme="1" tint="0.14990691854609822"/>
      </top>
      <bottom style="double">
        <color theme="1" tint="0.14990691854609822"/>
      </bottom>
      <diagonal/>
    </border>
    <border>
      <left style="thin">
        <color theme="1" tint="0.14996795556505021"/>
      </left>
      <right/>
      <top style="thin">
        <color theme="1" tint="0.14996795556505021"/>
      </top>
      <bottom style="thin">
        <color theme="1" tint="0.14996795556505021"/>
      </bottom>
      <diagonal/>
    </border>
    <border>
      <left style="thin">
        <color theme="1" tint="0.14996795556505021"/>
      </left>
      <right/>
      <top style="thin">
        <color theme="1" tint="0.14996795556505021"/>
      </top>
      <bottom style="double">
        <color theme="1" tint="0.14993743705557422"/>
      </bottom>
      <diagonal/>
    </border>
    <border>
      <left style="double">
        <color theme="1" tint="0.14993743705557422"/>
      </left>
      <right style="thin">
        <color theme="1" tint="0.14996795556505021"/>
      </right>
      <top/>
      <bottom style="thin">
        <color theme="1" tint="0.14996795556505021"/>
      </bottom>
      <diagonal/>
    </border>
    <border>
      <left style="thin">
        <color theme="1" tint="0.14996795556505021"/>
      </left>
      <right/>
      <top/>
      <bottom style="thin">
        <color theme="1" tint="0.14996795556505021"/>
      </bottom>
      <diagonal/>
    </border>
    <border>
      <left style="double">
        <color theme="1" tint="0.14990691854609822"/>
      </left>
      <right style="double">
        <color theme="1" tint="0.14990691854609822"/>
      </right>
      <top/>
      <bottom style="double">
        <color theme="1" tint="0.14990691854609822"/>
      </bottom>
      <diagonal/>
    </border>
    <border>
      <left style="double">
        <color theme="1" tint="0.14990691854609822"/>
      </left>
      <right/>
      <top style="double">
        <color theme="1" tint="0.14990691854609822"/>
      </top>
      <bottom style="double">
        <color theme="1" tint="0.14990691854609822"/>
      </bottom>
      <diagonal/>
    </border>
    <border>
      <left/>
      <right/>
      <top style="double">
        <color theme="1" tint="0.14990691854609822"/>
      </top>
      <bottom style="double">
        <color theme="1" tint="0.14990691854609822"/>
      </bottom>
      <diagonal/>
    </border>
    <border>
      <left/>
      <right style="double">
        <color theme="1" tint="0.14990691854609822"/>
      </right>
      <top style="double">
        <color theme="1" tint="0.14990691854609822"/>
      </top>
      <bottom style="double">
        <color theme="1" tint="0.14990691854609822"/>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auto="1"/>
      </left>
      <right style="thin">
        <color auto="1"/>
      </right>
      <top style="double">
        <color auto="1"/>
      </top>
      <bottom/>
      <diagonal/>
    </border>
    <border>
      <left style="thin">
        <color auto="1"/>
      </left>
      <right style="double">
        <color auto="1"/>
      </right>
      <top style="double">
        <color auto="1"/>
      </top>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top/>
      <bottom/>
      <diagonal/>
    </border>
    <border>
      <left/>
      <right style="double">
        <color auto="1"/>
      </right>
      <top/>
      <bottom/>
      <diagonal/>
    </border>
    <border>
      <left/>
      <right style="thin">
        <color auto="1"/>
      </right>
      <top style="thin">
        <color auto="1"/>
      </top>
      <bottom style="double">
        <color auto="1"/>
      </bottom>
      <diagonal/>
    </border>
    <border>
      <left style="double">
        <color auto="1"/>
      </left>
      <right/>
      <top style="thin">
        <color auto="1"/>
      </top>
      <bottom style="thin">
        <color indexed="64"/>
      </bottom>
      <diagonal/>
    </border>
    <border>
      <left/>
      <right/>
      <top style="thin">
        <color auto="1"/>
      </top>
      <bottom style="thin">
        <color auto="1"/>
      </bottom>
      <diagonal/>
    </border>
    <border>
      <left/>
      <right style="double">
        <color auto="1"/>
      </right>
      <top style="thin">
        <color auto="1"/>
      </top>
      <bottom style="thin">
        <color auto="1"/>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thin">
        <color auto="1"/>
      </left>
      <right/>
      <top style="double">
        <color auto="1"/>
      </top>
      <bottom style="thin">
        <color auto="1"/>
      </bottom>
      <diagonal/>
    </border>
    <border>
      <left style="double">
        <color theme="1"/>
      </left>
      <right style="thin">
        <color theme="1"/>
      </right>
      <top style="double">
        <color theme="1"/>
      </top>
      <bottom style="thin">
        <color theme="1"/>
      </bottom>
      <diagonal/>
    </border>
    <border>
      <left style="double">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double">
        <color theme="1"/>
      </right>
      <top style="thin">
        <color theme="1"/>
      </top>
      <bottom style="thin">
        <color theme="1"/>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double">
        <color theme="1"/>
      </right>
      <top style="double">
        <color theme="1"/>
      </top>
      <bottom style="thin">
        <color theme="1"/>
      </bottom>
      <diagonal/>
    </border>
    <border>
      <left/>
      <right/>
      <top/>
      <bottom style="double">
        <color theme="1"/>
      </bottom>
      <diagonal/>
    </border>
  </borders>
  <cellStyleXfs count="5">
    <xf numFmtId="0" fontId="0" fillId="0" borderId="0"/>
    <xf numFmtId="0" fontId="10" fillId="0" borderId="0"/>
    <xf numFmtId="0" fontId="21" fillId="0" borderId="0" applyNumberFormat="0" applyFill="0" applyBorder="0" applyAlignment="0" applyProtection="0"/>
    <xf numFmtId="0" fontId="23" fillId="0" borderId="0"/>
    <xf numFmtId="0" fontId="56" fillId="0" borderId="0"/>
  </cellStyleXfs>
  <cellXfs count="729">
    <xf numFmtId="0" fontId="0" fillId="0" borderId="0" xfId="0"/>
    <xf numFmtId="0" fontId="0" fillId="0" borderId="9"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3" fillId="0" borderId="5" xfId="0" applyFont="1" applyBorder="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6" fillId="0" borderId="4" xfId="0" applyFont="1" applyBorder="1" applyAlignment="1">
      <alignment horizontal="center" vertical="center"/>
    </xf>
    <xf numFmtId="0" fontId="7" fillId="0" borderId="6" xfId="0" applyFont="1" applyBorder="1" applyAlignment="1">
      <alignment horizontal="center" vertical="center"/>
    </xf>
    <xf numFmtId="164" fontId="0" fillId="0" borderId="0" xfId="0" applyNumberFormat="1"/>
    <xf numFmtId="0" fontId="1" fillId="0" borderId="4" xfId="0" applyFont="1" applyBorder="1" applyAlignment="1">
      <alignment horizontal="center" vertical="center"/>
    </xf>
    <xf numFmtId="0" fontId="0" fillId="0" borderId="7" xfId="0" applyBorder="1" applyAlignment="1">
      <alignment horizontal="center" vertical="center"/>
    </xf>
    <xf numFmtId="0" fontId="10" fillId="0" borderId="0" xfId="1"/>
    <xf numFmtId="0" fontId="10" fillId="0" borderId="0" xfId="1" applyAlignment="1">
      <alignment horizontal="center" vertical="center" wrapText="1"/>
    </xf>
    <xf numFmtId="0" fontId="10" fillId="4" borderId="5" xfId="1" applyFill="1" applyBorder="1" applyAlignment="1">
      <alignment horizontal="center" vertical="center"/>
    </xf>
    <xf numFmtId="0" fontId="10" fillId="6" borderId="5" xfId="1" applyFill="1" applyBorder="1" applyAlignment="1">
      <alignment horizontal="center" vertical="center"/>
    </xf>
    <xf numFmtId="0" fontId="10" fillId="4" borderId="5" xfId="1" applyFill="1" applyBorder="1" applyAlignment="1">
      <alignment horizontal="center" vertical="center" wrapText="1"/>
    </xf>
    <xf numFmtId="0" fontId="10" fillId="6" borderId="5" xfId="1" applyFill="1" applyBorder="1" applyAlignment="1">
      <alignment horizontal="center" vertical="center" wrapText="1"/>
    </xf>
    <xf numFmtId="0" fontId="12" fillId="4" borderId="5" xfId="1" applyFont="1" applyFill="1" applyBorder="1" applyAlignment="1">
      <alignment horizontal="center" vertical="center" wrapText="1"/>
    </xf>
    <xf numFmtId="0" fontId="15" fillId="6" borderId="5" xfId="1" applyFont="1" applyFill="1" applyBorder="1" applyAlignment="1">
      <alignment horizontal="center" vertical="center" wrapText="1"/>
    </xf>
    <xf numFmtId="0" fontId="3" fillId="2" borderId="1" xfId="0" applyFont="1" applyFill="1" applyBorder="1" applyAlignment="1">
      <alignment horizontal="center" vertical="center"/>
    </xf>
    <xf numFmtId="0" fontId="6"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 fillId="2" borderId="4" xfId="0" applyFont="1" applyFill="1" applyBorder="1" applyAlignment="1">
      <alignment horizontal="center" vertical="center"/>
    </xf>
    <xf numFmtId="0" fontId="7" fillId="2" borderId="6" xfId="0" applyFont="1" applyFill="1" applyBorder="1" applyAlignment="1">
      <alignment horizontal="center" vertical="center"/>
    </xf>
    <xf numFmtId="0" fontId="17" fillId="5" borderId="16" xfId="0" applyFont="1" applyFill="1" applyBorder="1" applyAlignment="1">
      <alignment horizontal="left" vertical="center" wrapText="1" indent="1"/>
    </xf>
    <xf numFmtId="0" fontId="17" fillId="5" borderId="17" xfId="0" applyFont="1" applyFill="1" applyBorder="1" applyAlignment="1">
      <alignment horizontal="left" vertical="center" wrapText="1" indent="1"/>
    </xf>
    <xf numFmtId="0" fontId="3" fillId="7" borderId="7" xfId="0" applyFont="1" applyFill="1" applyBorder="1" applyAlignment="1">
      <alignment horizontal="center" vertical="center"/>
    </xf>
    <xf numFmtId="0" fontId="3" fillId="7" borderId="9" xfId="0" applyFont="1" applyFill="1" applyBorder="1" applyAlignment="1">
      <alignment horizontal="center" vertical="center"/>
    </xf>
    <xf numFmtId="0" fontId="22" fillId="0" borderId="0" xfId="2" applyFont="1"/>
    <xf numFmtId="0" fontId="24" fillId="0" borderId="0" xfId="3" applyFont="1"/>
    <xf numFmtId="0" fontId="23" fillId="0" borderId="0" xfId="3"/>
    <xf numFmtId="0" fontId="23" fillId="0" borderId="0" xfId="3" applyAlignment="1">
      <alignment wrapText="1"/>
    </xf>
    <xf numFmtId="0" fontId="28" fillId="0" borderId="0" xfId="3" applyFont="1"/>
    <xf numFmtId="0" fontId="17" fillId="5" borderId="26" xfId="0" applyFont="1" applyFill="1" applyBorder="1" applyAlignment="1">
      <alignment horizontal="left" vertical="center" wrapText="1" indent="1"/>
    </xf>
    <xf numFmtId="0" fontId="17" fillId="5" borderId="27" xfId="0" applyFont="1" applyFill="1" applyBorder="1" applyAlignment="1">
      <alignment horizontal="left" vertical="center" wrapText="1" indent="1"/>
    </xf>
    <xf numFmtId="0" fontId="1" fillId="0" borderId="25" xfId="0" applyFont="1" applyBorder="1" applyAlignment="1">
      <alignment horizontal="center" vertical="center"/>
    </xf>
    <xf numFmtId="0" fontId="17" fillId="4" borderId="2" xfId="0" applyFont="1" applyFill="1" applyBorder="1" applyAlignment="1">
      <alignment horizontal="center" vertical="center" wrapText="1"/>
    </xf>
    <xf numFmtId="0" fontId="7" fillId="4" borderId="3" xfId="0" applyFont="1" applyFill="1" applyBorder="1" applyAlignment="1">
      <alignment horizontal="center" vertical="center"/>
    </xf>
    <xf numFmtId="0" fontId="3" fillId="12" borderId="5" xfId="0" applyFont="1" applyFill="1" applyBorder="1" applyAlignment="1">
      <alignment horizontal="center" vertical="center"/>
    </xf>
    <xf numFmtId="0" fontId="3" fillId="12" borderId="6" xfId="0" applyFont="1" applyFill="1" applyBorder="1" applyAlignment="1">
      <alignment horizontal="center" vertical="center"/>
    </xf>
    <xf numFmtId="0" fontId="2" fillId="10" borderId="1"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4" xfId="0" applyFont="1" applyFill="1" applyBorder="1" applyAlignment="1">
      <alignment horizontal="center" vertical="center" wrapText="1"/>
    </xf>
    <xf numFmtId="0" fontId="1" fillId="10" borderId="4" xfId="0" applyFont="1" applyFill="1" applyBorder="1" applyAlignment="1">
      <alignment horizontal="center" vertical="center"/>
    </xf>
    <xf numFmtId="0" fontId="3" fillId="10" borderId="7" xfId="0" applyFont="1" applyFill="1" applyBorder="1" applyAlignment="1">
      <alignment horizontal="center" vertical="center"/>
    </xf>
    <xf numFmtId="0" fontId="1" fillId="10" borderId="19" xfId="0" applyFont="1" applyFill="1" applyBorder="1" applyAlignment="1">
      <alignment horizontal="center" vertical="center"/>
    </xf>
    <xf numFmtId="0" fontId="3" fillId="12" borderId="8" xfId="0" applyFont="1" applyFill="1" applyBorder="1" applyAlignment="1">
      <alignment horizontal="center" vertical="center"/>
    </xf>
    <xf numFmtId="0" fontId="3" fillId="12" borderId="9" xfId="0" applyFont="1" applyFill="1" applyBorder="1" applyAlignment="1">
      <alignment horizontal="center" vertical="center"/>
    </xf>
    <xf numFmtId="0" fontId="3" fillId="9" borderId="7" xfId="0" applyFont="1" applyFill="1" applyBorder="1" applyAlignment="1">
      <alignment horizontal="center" vertical="center"/>
    </xf>
    <xf numFmtId="0" fontId="1" fillId="9" borderId="9" xfId="0" applyFont="1" applyFill="1" applyBorder="1" applyAlignment="1">
      <alignment horizontal="center" vertical="center"/>
    </xf>
    <xf numFmtId="0" fontId="2" fillId="9" borderId="4" xfId="0" applyFont="1" applyFill="1" applyBorder="1" applyAlignment="1">
      <alignment horizontal="center" vertical="center"/>
    </xf>
    <xf numFmtId="0" fontId="2" fillId="9" borderId="6" xfId="0" applyFont="1" applyFill="1" applyBorder="1" applyAlignment="1">
      <alignment horizontal="center" vertical="center"/>
    </xf>
    <xf numFmtId="0" fontId="8" fillId="9" borderId="9" xfId="0" applyFont="1" applyFill="1" applyBorder="1" applyAlignment="1">
      <alignment horizontal="center" vertical="center"/>
    </xf>
    <xf numFmtId="0" fontId="17" fillId="8" borderId="28" xfId="0" applyFont="1" applyFill="1" applyBorder="1" applyAlignment="1">
      <alignment horizontal="left" vertical="center" wrapText="1" indent="1"/>
    </xf>
    <xf numFmtId="0" fontId="17" fillId="8" borderId="29" xfId="0" applyFont="1" applyFill="1" applyBorder="1" applyAlignment="1">
      <alignment horizontal="left" vertical="center" wrapText="1" indent="1"/>
    </xf>
    <xf numFmtId="0" fontId="3" fillId="8" borderId="30" xfId="0" applyFont="1" applyFill="1" applyBorder="1" applyAlignment="1">
      <alignment horizontal="center" vertical="center"/>
    </xf>
    <xf numFmtId="0" fontId="6" fillId="11" borderId="4" xfId="0" applyFont="1" applyFill="1" applyBorder="1" applyAlignment="1">
      <alignment horizontal="center" vertical="center"/>
    </xf>
    <xf numFmtId="0" fontId="7" fillId="11" borderId="6" xfId="0" applyFont="1" applyFill="1" applyBorder="1" applyAlignment="1">
      <alignment horizontal="center" vertical="center"/>
    </xf>
    <xf numFmtId="0" fontId="28" fillId="0" borderId="0" xfId="3" applyFont="1" applyAlignment="1">
      <alignment horizontal="center"/>
    </xf>
    <xf numFmtId="0" fontId="25" fillId="0" borderId="0" xfId="3" applyFont="1" applyAlignment="1">
      <alignment horizontal="center"/>
    </xf>
    <xf numFmtId="0" fontId="25" fillId="0" borderId="0" xfId="3" applyFont="1" applyAlignment="1">
      <alignment horizontal="center" wrapText="1"/>
    </xf>
    <xf numFmtId="0" fontId="24" fillId="0" borderId="0" xfId="3" applyFont="1" applyAlignment="1">
      <alignment horizontal="center" vertical="center"/>
    </xf>
    <xf numFmtId="0" fontId="23" fillId="0" borderId="0" xfId="3" applyAlignment="1">
      <alignment horizontal="center" vertical="center"/>
    </xf>
    <xf numFmtId="0" fontId="23" fillId="0" borderId="0" xfId="3" applyAlignment="1">
      <alignment horizontal="center"/>
    </xf>
    <xf numFmtId="0" fontId="31" fillId="0" borderId="0" xfId="3" applyFont="1"/>
    <xf numFmtId="0" fontId="31" fillId="0" borderId="0" xfId="3" applyFont="1" applyAlignment="1">
      <alignment horizontal="center"/>
    </xf>
    <xf numFmtId="0" fontId="31" fillId="0" borderId="6" xfId="3" applyFont="1" applyBorder="1" applyAlignment="1">
      <alignment horizontal="center" vertical="center"/>
    </xf>
    <xf numFmtId="0" fontId="31" fillId="0" borderId="4" xfId="3" applyFont="1" applyBorder="1" applyAlignment="1">
      <alignment horizontal="center" vertical="center"/>
    </xf>
    <xf numFmtId="0" fontId="31" fillId="0" borderId="4" xfId="3" applyFont="1" applyBorder="1" applyAlignment="1">
      <alignment horizontal="center" vertical="center" wrapText="1"/>
    </xf>
    <xf numFmtId="0" fontId="32" fillId="0" borderId="4"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9" xfId="3" applyFont="1" applyBorder="1" applyAlignment="1">
      <alignment horizontal="center" vertical="center"/>
    </xf>
    <xf numFmtId="0" fontId="31" fillId="0" borderId="7" xfId="3" applyFont="1" applyBorder="1" applyAlignment="1">
      <alignment horizontal="center" vertical="center"/>
    </xf>
    <xf numFmtId="0" fontId="28" fillId="0" borderId="0" xfId="3" applyFont="1" applyAlignment="1">
      <alignment wrapText="1"/>
    </xf>
    <xf numFmtId="0" fontId="3" fillId="13" borderId="34" xfId="0" applyFont="1" applyFill="1" applyBorder="1" applyAlignment="1">
      <alignment horizontal="center"/>
    </xf>
    <xf numFmtId="0" fontId="3" fillId="13" borderId="38" xfId="0" applyFont="1" applyFill="1" applyBorder="1" applyAlignment="1">
      <alignment horizontal="center"/>
    </xf>
    <xf numFmtId="0" fontId="36" fillId="14" borderId="39" xfId="0" applyFont="1" applyFill="1" applyBorder="1" applyAlignment="1">
      <alignment horizontal="center"/>
    </xf>
    <xf numFmtId="0" fontId="36" fillId="0" borderId="39" xfId="0" applyFont="1" applyBorder="1"/>
    <xf numFmtId="0" fontId="37" fillId="0" borderId="39" xfId="0" applyFont="1" applyBorder="1" applyAlignment="1">
      <alignment horizontal="center"/>
    </xf>
    <xf numFmtId="0" fontId="36" fillId="15" borderId="39" xfId="0" applyFont="1" applyFill="1" applyBorder="1"/>
    <xf numFmtId="0" fontId="35" fillId="0" borderId="0" xfId="0" applyFont="1" applyAlignment="1">
      <alignment horizontal="center"/>
    </xf>
    <xf numFmtId="0" fontId="0" fillId="0" borderId="0" xfId="0" applyAlignment="1" applyProtection="1">
      <alignment horizontal="center" vertical="center" wrapText="1"/>
      <protection hidden="1"/>
    </xf>
    <xf numFmtId="165" fontId="0" fillId="0" borderId="0" xfId="0" applyNumberFormat="1" applyAlignment="1" applyProtection="1">
      <alignment horizontal="center" vertical="center" wrapText="1"/>
      <protection hidden="1"/>
    </xf>
    <xf numFmtId="0" fontId="36" fillId="0" borderId="0" xfId="0" applyFont="1"/>
    <xf numFmtId="0" fontId="37" fillId="0" borderId="0" xfId="0" applyFont="1" applyAlignment="1">
      <alignment horizontal="center"/>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 fillId="0" borderId="4"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9" xfId="0" applyFont="1" applyBorder="1" applyAlignment="1">
      <alignment horizontal="center"/>
    </xf>
    <xf numFmtId="0" fontId="1" fillId="7" borderId="4" xfId="0" applyFont="1" applyFill="1" applyBorder="1" applyAlignment="1">
      <alignment horizontal="center"/>
    </xf>
    <xf numFmtId="0" fontId="1" fillId="7" borderId="6" xfId="0" applyFont="1" applyFill="1" applyBorder="1" applyAlignment="1">
      <alignment horizontal="center"/>
    </xf>
    <xf numFmtId="0" fontId="1" fillId="2" borderId="4" xfId="0" applyFont="1" applyFill="1" applyBorder="1" applyAlignment="1">
      <alignment horizontal="center"/>
    </xf>
    <xf numFmtId="0" fontId="1" fillId="2" borderId="6" xfId="0" applyFont="1" applyFill="1" applyBorder="1" applyAlignment="1">
      <alignment horizontal="center"/>
    </xf>
    <xf numFmtId="0" fontId="1" fillId="2" borderId="50" xfId="0" applyFont="1" applyFill="1" applyBorder="1" applyAlignment="1">
      <alignment horizontal="center"/>
    </xf>
    <xf numFmtId="0" fontId="1" fillId="2" borderId="51" xfId="0" applyFont="1" applyFill="1" applyBorder="1" applyAlignment="1">
      <alignment horizontal="center"/>
    </xf>
    <xf numFmtId="0" fontId="1" fillId="16" borderId="58" xfId="0" applyFont="1" applyFill="1" applyBorder="1" applyAlignment="1">
      <alignment horizontal="center"/>
    </xf>
    <xf numFmtId="0" fontId="1" fillId="16" borderId="60" xfId="0" applyFont="1" applyFill="1" applyBorder="1" applyAlignment="1">
      <alignment horizontal="center"/>
    </xf>
    <xf numFmtId="1" fontId="3" fillId="2" borderId="5" xfId="0" applyNumberFormat="1" applyFont="1" applyFill="1" applyBorder="1" applyAlignment="1">
      <alignment horizontal="center" vertical="center"/>
    </xf>
    <xf numFmtId="0" fontId="1" fillId="2" borderId="6" xfId="0" applyFont="1" applyFill="1" applyBorder="1" applyAlignment="1">
      <alignment horizontal="center" vertical="center"/>
    </xf>
    <xf numFmtId="1" fontId="3" fillId="0" borderId="5" xfId="0" applyNumberFormat="1" applyFont="1" applyBorder="1" applyAlignment="1">
      <alignment horizontal="center" vertical="center"/>
    </xf>
    <xf numFmtId="0" fontId="1" fillId="0" borderId="6" xfId="0" applyFont="1" applyBorder="1" applyAlignment="1">
      <alignment horizontal="center" vertical="center"/>
    </xf>
    <xf numFmtId="165" fontId="3" fillId="0" borderId="5"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8" xfId="0" applyNumberFormat="1" applyFont="1" applyBorder="1" applyAlignment="1">
      <alignment horizontal="center" vertical="center"/>
    </xf>
    <xf numFmtId="0" fontId="1" fillId="2" borderId="50" xfId="0" applyFont="1" applyFill="1" applyBorder="1" applyAlignment="1">
      <alignment horizontal="center" vertical="center"/>
    </xf>
    <xf numFmtId="1" fontId="3" fillId="2" borderId="40" xfId="0" applyNumberFormat="1" applyFont="1" applyFill="1" applyBorder="1" applyAlignment="1">
      <alignment horizontal="center" vertical="center"/>
    </xf>
    <xf numFmtId="0" fontId="1" fillId="2" borderId="51" xfId="0" applyFont="1" applyFill="1" applyBorder="1" applyAlignment="1">
      <alignment horizontal="center" vertical="center"/>
    </xf>
    <xf numFmtId="2" fontId="0" fillId="0" borderId="0" xfId="0" applyNumberFormat="1" applyAlignment="1">
      <alignment horizontal="center" vertical="center"/>
    </xf>
    <xf numFmtId="2" fontId="1" fillId="16" borderId="59" xfId="0" applyNumberFormat="1" applyFont="1" applyFill="1" applyBorder="1" applyAlignment="1">
      <alignment horizontal="center"/>
    </xf>
    <xf numFmtId="2" fontId="1" fillId="2" borderId="40" xfId="0" applyNumberFormat="1" applyFont="1" applyFill="1" applyBorder="1" applyAlignment="1">
      <alignment horizontal="center"/>
    </xf>
    <xf numFmtId="2" fontId="1" fillId="2" borderId="5" xfId="0" applyNumberFormat="1" applyFont="1" applyFill="1" applyBorder="1" applyAlignment="1">
      <alignment horizontal="center"/>
    </xf>
    <xf numFmtId="2" fontId="1" fillId="7" borderId="5" xfId="0" applyNumberFormat="1" applyFont="1" applyFill="1" applyBorder="1" applyAlignment="1">
      <alignment horizontal="center"/>
    </xf>
    <xf numFmtId="2" fontId="1" fillId="0" borderId="5" xfId="0" applyNumberFormat="1" applyFont="1" applyBorder="1" applyAlignment="1">
      <alignment horizontal="center"/>
    </xf>
    <xf numFmtId="2" fontId="1" fillId="0" borderId="8" xfId="0" applyNumberFormat="1" applyFont="1" applyBorder="1" applyAlignment="1">
      <alignment horizontal="center"/>
    </xf>
    <xf numFmtId="0" fontId="7" fillId="16" borderId="58" xfId="0" applyFont="1" applyFill="1" applyBorder="1" applyAlignment="1">
      <alignment horizontal="center"/>
    </xf>
    <xf numFmtId="2" fontId="7" fillId="16" borderId="59" xfId="0" applyNumberFormat="1" applyFont="1" applyFill="1" applyBorder="1" applyAlignment="1">
      <alignment horizontal="center"/>
    </xf>
    <xf numFmtId="0" fontId="7" fillId="16" borderId="60" xfId="0" applyFont="1" applyFill="1" applyBorder="1" applyAlignment="1">
      <alignment horizontal="center"/>
    </xf>
    <xf numFmtId="0" fontId="7" fillId="2" borderId="50" xfId="0" applyFont="1" applyFill="1" applyBorder="1" applyAlignment="1">
      <alignment horizontal="center"/>
    </xf>
    <xf numFmtId="2" fontId="7" fillId="2" borderId="40" xfId="0" applyNumberFormat="1" applyFont="1" applyFill="1" applyBorder="1" applyAlignment="1">
      <alignment horizontal="center"/>
    </xf>
    <xf numFmtId="0" fontId="7" fillId="2" borderId="51" xfId="0" applyFont="1" applyFill="1" applyBorder="1" applyAlignment="1">
      <alignment horizontal="center"/>
    </xf>
    <xf numFmtId="0" fontId="7" fillId="2" borderId="4" xfId="0" applyFont="1" applyFill="1" applyBorder="1" applyAlignment="1">
      <alignment horizontal="center"/>
    </xf>
    <xf numFmtId="2" fontId="7" fillId="2" borderId="5" xfId="0" applyNumberFormat="1" applyFont="1" applyFill="1" applyBorder="1" applyAlignment="1">
      <alignment horizontal="center"/>
    </xf>
    <xf numFmtId="0" fontId="7" fillId="2" borderId="6" xfId="0" applyFont="1" applyFill="1" applyBorder="1" applyAlignment="1">
      <alignment horizontal="center"/>
    </xf>
    <xf numFmtId="0" fontId="7" fillId="0" borderId="4" xfId="0" applyFont="1" applyBorder="1" applyAlignment="1">
      <alignment horizontal="center"/>
    </xf>
    <xf numFmtId="2" fontId="7" fillId="0" borderId="5" xfId="0" applyNumberFormat="1"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2" fontId="7" fillId="0" borderId="8" xfId="0" applyNumberFormat="1" applyFont="1" applyBorder="1" applyAlignment="1">
      <alignment horizontal="center"/>
    </xf>
    <xf numFmtId="0" fontId="7" fillId="0" borderId="9" xfId="0" applyFont="1" applyBorder="1" applyAlignment="1">
      <alignment horizontal="center"/>
    </xf>
    <xf numFmtId="1" fontId="7" fillId="2" borderId="5" xfId="0" applyNumberFormat="1" applyFont="1" applyFill="1" applyBorder="1" applyAlignment="1">
      <alignment horizontal="center"/>
    </xf>
    <xf numFmtId="0" fontId="2" fillId="0" borderId="0" xfId="0" applyFont="1" applyAlignment="1">
      <alignment horizontal="center" vertical="center"/>
    </xf>
    <xf numFmtId="2" fontId="3" fillId="2" borderId="5" xfId="0" applyNumberFormat="1" applyFont="1" applyFill="1" applyBorder="1" applyAlignment="1">
      <alignment horizontal="center" vertical="center"/>
    </xf>
    <xf numFmtId="2" fontId="3" fillId="0" borderId="5" xfId="0" applyNumberFormat="1" applyFont="1" applyBorder="1" applyAlignment="1">
      <alignment horizontal="center" vertical="center"/>
    </xf>
    <xf numFmtId="2" fontId="1" fillId="2" borderId="5" xfId="0" applyNumberFormat="1" applyFont="1" applyFill="1" applyBorder="1" applyAlignment="1">
      <alignment horizontal="center" vertical="center"/>
    </xf>
    <xf numFmtId="2" fontId="1" fillId="0" borderId="5" xfId="0" applyNumberFormat="1" applyFont="1" applyBorder="1" applyAlignment="1">
      <alignment horizontal="center" vertical="center"/>
    </xf>
    <xf numFmtId="3" fontId="6" fillId="11" borderId="4" xfId="0" applyNumberFormat="1" applyFont="1" applyFill="1" applyBorder="1" applyAlignment="1">
      <alignment horizontal="center" vertical="center"/>
    </xf>
    <xf numFmtId="3" fontId="7" fillId="11" borderId="6" xfId="0" applyNumberFormat="1" applyFont="1" applyFill="1" applyBorder="1" applyAlignment="1">
      <alignment horizontal="center" vertical="center"/>
    </xf>
    <xf numFmtId="3" fontId="0" fillId="0" borderId="0" xfId="0" applyNumberFormat="1"/>
    <xf numFmtId="3" fontId="7" fillId="11" borderId="5" xfId="0" applyNumberFormat="1" applyFont="1" applyFill="1" applyBorder="1" applyAlignment="1">
      <alignment horizontal="center"/>
    </xf>
    <xf numFmtId="3" fontId="8" fillId="9" borderId="8" xfId="0" applyNumberFormat="1" applyFont="1" applyFill="1" applyBorder="1" applyAlignment="1">
      <alignment horizontal="center"/>
    </xf>
    <xf numFmtId="0" fontId="3" fillId="9" borderId="4" xfId="0" applyFont="1" applyFill="1" applyBorder="1" applyAlignment="1">
      <alignment horizontal="center" vertical="center"/>
    </xf>
    <xf numFmtId="3" fontId="3" fillId="9" borderId="5" xfId="0" applyNumberFormat="1" applyFont="1" applyFill="1" applyBorder="1" applyAlignment="1">
      <alignment horizontal="center" vertical="center"/>
    </xf>
    <xf numFmtId="0" fontId="1" fillId="9" borderId="6" xfId="0" applyFont="1" applyFill="1" applyBorder="1" applyAlignment="1">
      <alignment horizontal="center" vertical="center"/>
    </xf>
    <xf numFmtId="2" fontId="7" fillId="11" borderId="5" xfId="0" applyNumberFormat="1" applyFont="1" applyFill="1" applyBorder="1" applyAlignment="1">
      <alignment horizontal="center"/>
    </xf>
    <xf numFmtId="3" fontId="48" fillId="9" borderId="8" xfId="0" applyNumberFormat="1" applyFont="1" applyFill="1" applyBorder="1" applyAlignment="1">
      <alignment horizontal="center" vertical="center"/>
    </xf>
    <xf numFmtId="0" fontId="49" fillId="9" borderId="9" xfId="0" applyFont="1" applyFill="1" applyBorder="1" applyAlignment="1">
      <alignment horizontal="center" vertical="center"/>
    </xf>
    <xf numFmtId="0" fontId="48" fillId="9" borderId="4" xfId="0" applyFont="1" applyFill="1" applyBorder="1" applyAlignment="1">
      <alignment horizontal="center" vertical="center"/>
    </xf>
    <xf numFmtId="0" fontId="48" fillId="9" borderId="5" xfId="0" applyFont="1" applyFill="1" applyBorder="1" applyAlignment="1">
      <alignment horizontal="center" vertical="center"/>
    </xf>
    <xf numFmtId="0" fontId="48" fillId="9" borderId="6" xfId="0" applyFont="1" applyFill="1" applyBorder="1" applyAlignment="1">
      <alignment horizontal="center" vertical="center"/>
    </xf>
    <xf numFmtId="0" fontId="8" fillId="9" borderId="7" xfId="0" applyFont="1" applyFill="1" applyBorder="1" applyAlignment="1">
      <alignment horizontal="center" vertical="center"/>
    </xf>
    <xf numFmtId="0" fontId="3" fillId="0" borderId="8" xfId="0" applyFont="1" applyBorder="1" applyAlignment="1">
      <alignment horizontal="center" vertical="center"/>
    </xf>
    <xf numFmtId="0" fontId="7" fillId="9" borderId="4" xfId="0" applyFont="1" applyFill="1" applyBorder="1" applyAlignment="1">
      <alignment horizontal="center" vertical="center"/>
    </xf>
    <xf numFmtId="0" fontId="51" fillId="0" borderId="0" xfId="1" applyFont="1" applyAlignment="1">
      <alignment horizontal="center" vertical="center"/>
    </xf>
    <xf numFmtId="0" fontId="51" fillId="2" borderId="6" xfId="1" applyFont="1" applyFill="1" applyBorder="1" applyAlignment="1">
      <alignment horizontal="center" vertical="center"/>
    </xf>
    <xf numFmtId="0" fontId="51" fillId="2" borderId="9" xfId="1" applyFont="1" applyFill="1" applyBorder="1" applyAlignment="1">
      <alignment horizontal="center" vertical="center"/>
    </xf>
    <xf numFmtId="0" fontId="51" fillId="4" borderId="6" xfId="1" applyFont="1" applyFill="1" applyBorder="1" applyAlignment="1">
      <alignment horizontal="center" vertical="center"/>
    </xf>
    <xf numFmtId="9" fontId="51" fillId="2" borderId="6" xfId="1" applyNumberFormat="1" applyFont="1" applyFill="1" applyBorder="1" applyAlignment="1">
      <alignment horizontal="center" vertical="center"/>
    </xf>
    <xf numFmtId="0" fontId="51" fillId="4" borderId="9" xfId="1" applyFont="1" applyFill="1" applyBorder="1" applyAlignment="1">
      <alignment horizontal="center" vertical="center"/>
    </xf>
    <xf numFmtId="0" fontId="52" fillId="17" borderId="2" xfId="1" applyFont="1" applyFill="1" applyBorder="1" applyAlignment="1">
      <alignment horizontal="center" vertical="center" wrapText="1"/>
    </xf>
    <xf numFmtId="0" fontId="52" fillId="17" borderId="3" xfId="1" applyFont="1" applyFill="1" applyBorder="1" applyAlignment="1">
      <alignment horizontal="center" vertical="center" wrapText="1"/>
    </xf>
    <xf numFmtId="0" fontId="51" fillId="0" borderId="0" xfId="1" applyFont="1" applyAlignment="1">
      <alignment horizontal="center" vertical="center" wrapText="1"/>
    </xf>
    <xf numFmtId="0" fontId="52" fillId="17" borderId="5" xfId="1" applyFont="1" applyFill="1" applyBorder="1" applyAlignment="1">
      <alignment horizontal="center" vertical="center"/>
    </xf>
    <xf numFmtId="0" fontId="51" fillId="2" borderId="5" xfId="1" applyFont="1" applyFill="1" applyBorder="1" applyAlignment="1">
      <alignment horizontal="center" vertical="center"/>
    </xf>
    <xf numFmtId="165" fontId="51" fillId="4" borderId="6" xfId="1" applyNumberFormat="1" applyFont="1" applyFill="1" applyBorder="1" applyAlignment="1">
      <alignment horizontal="center" vertical="center"/>
    </xf>
    <xf numFmtId="0" fontId="51" fillId="4" borderId="8" xfId="1" applyFont="1" applyFill="1" applyBorder="1" applyAlignment="1">
      <alignment horizontal="center" vertical="center"/>
    </xf>
    <xf numFmtId="165" fontId="51" fillId="4" borderId="9" xfId="1" applyNumberFormat="1" applyFont="1" applyFill="1" applyBorder="1" applyAlignment="1">
      <alignment horizontal="center" vertical="center"/>
    </xf>
    <xf numFmtId="0" fontId="51" fillId="4" borderId="5" xfId="1" applyFont="1" applyFill="1" applyBorder="1" applyAlignment="1">
      <alignment horizontal="center" vertical="center"/>
    </xf>
    <xf numFmtId="1" fontId="51" fillId="4" borderId="5" xfId="1" applyNumberFormat="1" applyFont="1" applyFill="1" applyBorder="1" applyAlignment="1">
      <alignment horizontal="center" vertical="center"/>
    </xf>
    <xf numFmtId="2" fontId="51" fillId="4" borderId="5" xfId="1" applyNumberFormat="1" applyFont="1" applyFill="1" applyBorder="1" applyAlignment="1">
      <alignment horizontal="center" vertical="center"/>
    </xf>
    <xf numFmtId="2" fontId="51" fillId="4" borderId="6" xfId="1" applyNumberFormat="1" applyFont="1" applyFill="1" applyBorder="1" applyAlignment="1">
      <alignment horizontal="center" vertical="center"/>
    </xf>
    <xf numFmtId="1" fontId="51" fillId="4" borderId="8" xfId="1" applyNumberFormat="1" applyFont="1" applyFill="1" applyBorder="1" applyAlignment="1">
      <alignment horizontal="center" vertical="center"/>
    </xf>
    <xf numFmtId="2" fontId="51" fillId="4" borderId="8" xfId="1" applyNumberFormat="1" applyFont="1" applyFill="1" applyBorder="1" applyAlignment="1">
      <alignment horizontal="center" vertical="center"/>
    </xf>
    <xf numFmtId="2" fontId="51" fillId="4" borderId="9" xfId="1" applyNumberFormat="1" applyFont="1" applyFill="1" applyBorder="1" applyAlignment="1">
      <alignment horizontal="center" vertical="center"/>
    </xf>
    <xf numFmtId="0" fontId="52" fillId="17" borderId="6" xfId="1" applyFont="1" applyFill="1" applyBorder="1" applyAlignment="1">
      <alignment horizontal="center" vertical="center"/>
    </xf>
    <xf numFmtId="0" fontId="52" fillId="17" borderId="4" xfId="1" applyFont="1" applyFill="1" applyBorder="1" applyAlignment="1">
      <alignment horizontal="center" vertical="center"/>
    </xf>
    <xf numFmtId="0" fontId="52" fillId="17" borderId="5" xfId="1" applyFont="1" applyFill="1" applyBorder="1" applyAlignment="1">
      <alignment horizontal="center" vertical="center" wrapText="1"/>
    </xf>
    <xf numFmtId="2" fontId="54" fillId="18" borderId="5" xfId="1" applyNumberFormat="1" applyFont="1" applyFill="1" applyBorder="1" applyAlignment="1">
      <alignment horizontal="center" vertical="center"/>
    </xf>
    <xf numFmtId="3" fontId="54" fillId="18" borderId="6" xfId="1" applyNumberFormat="1" applyFont="1" applyFill="1" applyBorder="1" applyAlignment="1">
      <alignment horizontal="center" vertical="center"/>
    </xf>
    <xf numFmtId="2" fontId="54" fillId="18" borderId="8" xfId="1" applyNumberFormat="1" applyFont="1" applyFill="1" applyBorder="1" applyAlignment="1">
      <alignment horizontal="center" vertical="center"/>
    </xf>
    <xf numFmtId="3" fontId="54" fillId="18" borderId="9" xfId="1" applyNumberFormat="1" applyFont="1" applyFill="1" applyBorder="1" applyAlignment="1">
      <alignment horizontal="center" vertical="center"/>
    </xf>
    <xf numFmtId="0" fontId="32" fillId="8" borderId="4" xfId="3" applyFont="1" applyFill="1" applyBorder="1" applyAlignment="1">
      <alignment horizontal="center" vertical="center" wrapText="1"/>
    </xf>
    <xf numFmtId="0" fontId="31" fillId="8" borderId="6" xfId="3" applyFont="1" applyFill="1" applyBorder="1" applyAlignment="1">
      <alignment horizontal="center" vertical="center"/>
    </xf>
    <xf numFmtId="0" fontId="31" fillId="8" borderId="1" xfId="3" applyFont="1" applyFill="1" applyBorder="1" applyAlignment="1">
      <alignment horizontal="center" vertical="center"/>
    </xf>
    <xf numFmtId="0" fontId="31" fillId="8" borderId="3" xfId="3" applyFont="1" applyFill="1" applyBorder="1" applyAlignment="1">
      <alignment horizontal="center" vertical="center"/>
    </xf>
    <xf numFmtId="0" fontId="31" fillId="8" borderId="4" xfId="3" applyFont="1" applyFill="1" applyBorder="1" applyAlignment="1">
      <alignment horizontal="center" vertical="center"/>
    </xf>
    <xf numFmtId="0" fontId="39" fillId="0" borderId="2" xfId="0" applyFont="1" applyBorder="1" applyAlignment="1" applyProtection="1">
      <alignment vertical="center" wrapText="1"/>
      <protection hidden="1"/>
    </xf>
    <xf numFmtId="12" fontId="0" fillId="0" borderId="4" xfId="0" applyNumberFormat="1" applyBorder="1" applyAlignment="1" applyProtection="1">
      <alignment horizontal="center" vertical="center" wrapText="1"/>
      <protection hidden="1"/>
    </xf>
    <xf numFmtId="165" fontId="0" fillId="0" borderId="5" xfId="0" applyNumberFormat="1" applyBorder="1" applyAlignment="1" applyProtection="1">
      <alignment horizontal="center" vertical="center" wrapText="1"/>
      <protection hidden="1"/>
    </xf>
    <xf numFmtId="165" fontId="0" fillId="0" borderId="6" xfId="0" applyNumberFormat="1" applyBorder="1" applyAlignment="1" applyProtection="1">
      <alignment horizontal="center" vertical="center" wrapText="1"/>
      <protection hidden="1"/>
    </xf>
    <xf numFmtId="12" fontId="0" fillId="0" borderId="7" xfId="0" applyNumberFormat="1" applyBorder="1" applyAlignment="1" applyProtection="1">
      <alignment horizontal="center" vertical="center" wrapText="1"/>
      <protection hidden="1"/>
    </xf>
    <xf numFmtId="165" fontId="0" fillId="0" borderId="8" xfId="0" applyNumberFormat="1" applyBorder="1" applyAlignment="1" applyProtection="1">
      <alignment horizontal="center" vertical="center" wrapText="1"/>
      <protection hidden="1"/>
    </xf>
    <xf numFmtId="165" fontId="0" fillId="0" borderId="9" xfId="0" applyNumberFormat="1" applyBorder="1" applyAlignment="1" applyProtection="1">
      <alignment horizontal="center" vertical="center" wrapText="1"/>
      <protection hidden="1"/>
    </xf>
    <xf numFmtId="0" fontId="0" fillId="2" borderId="5" xfId="0" applyFill="1" applyBorder="1" applyAlignment="1">
      <alignment horizontal="center" vertical="center"/>
    </xf>
    <xf numFmtId="0" fontId="56" fillId="11" borderId="0" xfId="4" applyFill="1" applyProtection="1">
      <protection hidden="1"/>
    </xf>
    <xf numFmtId="0" fontId="57" fillId="11" borderId="0" xfId="4" applyFont="1" applyFill="1" applyProtection="1">
      <protection hidden="1"/>
    </xf>
    <xf numFmtId="0" fontId="57" fillId="20" borderId="0" xfId="4" applyFont="1" applyFill="1"/>
    <xf numFmtId="0" fontId="57" fillId="20" borderId="0" xfId="4" applyFont="1" applyFill="1" applyProtection="1">
      <protection hidden="1"/>
    </xf>
    <xf numFmtId="0" fontId="56" fillId="11" borderId="0" xfId="4" applyFill="1" applyAlignment="1">
      <alignment horizontal="centerContinuous"/>
    </xf>
    <xf numFmtId="0" fontId="59" fillId="11" borderId="0" xfId="4" applyFont="1" applyFill="1"/>
    <xf numFmtId="0" fontId="57" fillId="11" borderId="0" xfId="4" applyFont="1" applyFill="1"/>
    <xf numFmtId="0" fontId="60" fillId="20" borderId="0" xfId="4" applyFont="1" applyFill="1" applyProtection="1">
      <protection hidden="1"/>
    </xf>
    <xf numFmtId="0" fontId="61" fillId="11" borderId="0" xfId="4" applyFont="1" applyFill="1" applyAlignment="1">
      <alignment horizontal="center"/>
    </xf>
    <xf numFmtId="0" fontId="56" fillId="20" borderId="0" xfId="4" applyFill="1" applyProtection="1">
      <protection locked="0"/>
    </xf>
    <xf numFmtId="0" fontId="62" fillId="20" borderId="0" xfId="4" applyFont="1" applyFill="1" applyProtection="1">
      <protection locked="0"/>
    </xf>
    <xf numFmtId="0" fontId="63" fillId="22" borderId="0" xfId="4" applyFont="1" applyFill="1" applyAlignment="1" applyProtection="1">
      <alignment horizontal="center" vertical="center"/>
      <protection locked="0"/>
    </xf>
    <xf numFmtId="0" fontId="56" fillId="11" borderId="0" xfId="4" applyFill="1"/>
    <xf numFmtId="0" fontId="57" fillId="20" borderId="0" xfId="4" applyFont="1" applyFill="1" applyAlignment="1" applyProtection="1">
      <alignment horizontal="center"/>
      <protection hidden="1"/>
    </xf>
    <xf numFmtId="0" fontId="64" fillId="20" borderId="0" xfId="4" applyFont="1" applyFill="1" applyProtection="1">
      <protection hidden="1"/>
    </xf>
    <xf numFmtId="0" fontId="65" fillId="21" borderId="0" xfId="4" applyFont="1" applyFill="1" applyAlignment="1" applyProtection="1">
      <alignment horizontal="center" vertical="center"/>
      <protection hidden="1"/>
    </xf>
    <xf numFmtId="0" fontId="64" fillId="20" borderId="0" xfId="4" applyFont="1" applyFill="1" applyAlignment="1" applyProtection="1">
      <alignment horizontal="center"/>
      <protection hidden="1"/>
    </xf>
    <xf numFmtId="11" fontId="64" fillId="20" borderId="0" xfId="4" applyNumberFormat="1" applyFont="1" applyFill="1" applyProtection="1">
      <protection hidden="1"/>
    </xf>
    <xf numFmtId="0" fontId="61" fillId="11" borderId="0" xfId="4" applyFont="1" applyFill="1" applyProtection="1">
      <protection hidden="1"/>
    </xf>
    <xf numFmtId="0" fontId="67" fillId="11" borderId="0" xfId="4" applyFont="1" applyFill="1" applyAlignment="1" applyProtection="1">
      <alignment vertical="center"/>
      <protection hidden="1"/>
    </xf>
    <xf numFmtId="0" fontId="61" fillId="11" borderId="0" xfId="4" applyFont="1" applyFill="1"/>
    <xf numFmtId="0" fontId="56" fillId="11" borderId="0" xfId="4" applyFill="1" applyAlignment="1">
      <alignment horizontal="center"/>
    </xf>
    <xf numFmtId="0" fontId="69" fillId="11" borderId="0" xfId="4" applyFont="1" applyFill="1"/>
    <xf numFmtId="0" fontId="70" fillId="20" borderId="0" xfId="4" applyFont="1" applyFill="1" applyProtection="1">
      <protection locked="0"/>
    </xf>
    <xf numFmtId="0" fontId="71" fillId="11" borderId="0" xfId="4" applyFont="1" applyFill="1" applyProtection="1">
      <protection hidden="1"/>
    </xf>
    <xf numFmtId="0" fontId="71" fillId="20" borderId="0" xfId="4" applyFont="1" applyFill="1" applyProtection="1">
      <protection hidden="1"/>
    </xf>
    <xf numFmtId="0" fontId="56" fillId="20" borderId="0" xfId="4" applyFill="1" applyProtection="1">
      <protection hidden="1"/>
    </xf>
    <xf numFmtId="0" fontId="61" fillId="20" borderId="0" xfId="4" applyFont="1" applyFill="1" applyProtection="1">
      <protection hidden="1"/>
    </xf>
    <xf numFmtId="0" fontId="62" fillId="20" borderId="0" xfId="4" applyFont="1" applyFill="1" applyProtection="1">
      <protection hidden="1"/>
    </xf>
    <xf numFmtId="164" fontId="5" fillId="7" borderId="6" xfId="0" applyNumberFormat="1" applyFont="1" applyFill="1" applyBorder="1" applyAlignment="1">
      <alignment horizontal="center" vertical="center"/>
    </xf>
    <xf numFmtId="0" fontId="5" fillId="7" borderId="4" xfId="0" applyFont="1" applyFill="1" applyBorder="1" applyAlignment="1">
      <alignment horizontal="center" vertical="center"/>
    </xf>
    <xf numFmtId="0" fontId="5" fillId="0" borderId="0" xfId="0" quotePrefix="1" applyFont="1" applyAlignment="1">
      <alignment horizontal="center" vertical="center"/>
    </xf>
    <xf numFmtId="0" fontId="5" fillId="0" borderId="4" xfId="0" applyFont="1" applyBorder="1" applyAlignment="1">
      <alignment horizontal="center" vertical="center"/>
    </xf>
    <xf numFmtId="164" fontId="5" fillId="0" borderId="6"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0" xfId="1" applyAlignment="1">
      <alignment vertical="center" wrapText="1"/>
    </xf>
    <xf numFmtId="0" fontId="23" fillId="0" borderId="4" xfId="3" applyBorder="1"/>
    <xf numFmtId="2" fontId="26" fillId="0" borderId="6" xfId="3" applyNumberFormat="1" applyFont="1" applyBorder="1" applyAlignment="1">
      <alignment horizontal="center" vertical="center"/>
    </xf>
    <xf numFmtId="0" fontId="23" fillId="9" borderId="4" xfId="3" applyFill="1" applyBorder="1"/>
    <xf numFmtId="2" fontId="26" fillId="9" borderId="6" xfId="3" applyNumberFormat="1" applyFont="1" applyFill="1" applyBorder="1" applyAlignment="1">
      <alignment horizontal="center" vertical="center"/>
    </xf>
    <xf numFmtId="0" fontId="28" fillId="9" borderId="4" xfId="3" applyFont="1" applyFill="1" applyBorder="1"/>
    <xf numFmtId="2" fontId="29" fillId="9" borderId="6" xfId="3" applyNumberFormat="1" applyFont="1" applyFill="1" applyBorder="1" applyAlignment="1">
      <alignment horizontal="center" vertical="center"/>
    </xf>
    <xf numFmtId="0" fontId="23" fillId="0" borderId="6" xfId="3" applyBorder="1" applyAlignment="1">
      <alignment horizontal="center" vertical="center"/>
    </xf>
    <xf numFmtId="0" fontId="28" fillId="9" borderId="7" xfId="3" applyFont="1" applyFill="1" applyBorder="1"/>
    <xf numFmtId="2" fontId="29" fillId="9" borderId="9" xfId="3" applyNumberFormat="1" applyFont="1" applyFill="1" applyBorder="1" applyAlignment="1">
      <alignment horizontal="center" vertical="center"/>
    </xf>
    <xf numFmtId="0" fontId="21" fillId="0" borderId="4" xfId="2" applyBorder="1"/>
    <xf numFmtId="0" fontId="27" fillId="0" borderId="4" xfId="2" applyFont="1" applyBorder="1"/>
    <xf numFmtId="0" fontId="23" fillId="0" borderId="7" xfId="3" applyBorder="1"/>
    <xf numFmtId="0" fontId="23" fillId="0" borderId="9" xfId="3" applyBorder="1" applyAlignment="1">
      <alignment horizontal="center" vertical="center"/>
    </xf>
    <xf numFmtId="0" fontId="17" fillId="2" borderId="5" xfId="0" applyFont="1" applyFill="1" applyBorder="1" applyAlignment="1">
      <alignment horizontal="center" vertical="center" wrapText="1" readingOrder="1"/>
    </xf>
    <xf numFmtId="0" fontId="17" fillId="0" borderId="6" xfId="0" applyFont="1" applyBorder="1" applyAlignment="1">
      <alignment horizontal="center" vertical="center" wrapText="1" readingOrder="1"/>
    </xf>
    <xf numFmtId="0" fontId="17" fillId="0" borderId="4" xfId="0" applyFont="1" applyBorder="1" applyAlignment="1">
      <alignment horizontal="center" vertical="center" wrapText="1" readingOrder="2"/>
    </xf>
    <xf numFmtId="0" fontId="17" fillId="0" borderId="5" xfId="0" applyFont="1" applyBorder="1" applyAlignment="1">
      <alignment horizontal="center" vertical="center" wrapText="1" readingOrder="2"/>
    </xf>
    <xf numFmtId="0" fontId="17" fillId="23" borderId="4" xfId="0" applyFont="1" applyFill="1" applyBorder="1" applyAlignment="1">
      <alignment horizontal="center" vertical="center" wrapText="1" readingOrder="2"/>
    </xf>
    <xf numFmtId="0" fontId="17" fillId="23" borderId="5" xfId="0" applyFont="1" applyFill="1" applyBorder="1" applyAlignment="1">
      <alignment horizontal="center" vertical="center" wrapText="1" readingOrder="2"/>
    </xf>
    <xf numFmtId="0" fontId="17" fillId="23" borderId="6" xfId="0" applyFont="1" applyFill="1" applyBorder="1" applyAlignment="1">
      <alignment horizontal="center" vertical="center" wrapText="1" readingOrder="2"/>
    </xf>
    <xf numFmtId="0" fontId="17" fillId="11" borderId="9" xfId="0" applyFont="1" applyFill="1" applyBorder="1" applyAlignment="1">
      <alignment horizontal="center" vertical="center" wrapText="1" readingOrder="1"/>
    </xf>
    <xf numFmtId="0" fontId="10" fillId="4" borderId="4" xfId="1" applyFill="1" applyBorder="1" applyAlignment="1">
      <alignment horizontal="center" vertical="center" wrapText="1"/>
    </xf>
    <xf numFmtId="165" fontId="10" fillId="9" borderId="7" xfId="1" applyNumberFormat="1" applyFill="1" applyBorder="1" applyAlignment="1">
      <alignment horizontal="center" vertical="center" wrapText="1"/>
    </xf>
    <xf numFmtId="166" fontId="10" fillId="0" borderId="8" xfId="1" applyNumberFormat="1" applyBorder="1" applyAlignment="1">
      <alignment horizontal="center" vertical="center" wrapText="1"/>
    </xf>
    <xf numFmtId="0" fontId="10" fillId="0" borderId="8" xfId="1" applyBorder="1" applyAlignment="1">
      <alignment horizontal="center" vertical="center" wrapText="1"/>
    </xf>
    <xf numFmtId="0" fontId="10" fillId="2" borderId="8" xfId="1" applyFill="1" applyBorder="1" applyAlignment="1">
      <alignment horizontal="center" vertical="center" wrapText="1"/>
    </xf>
    <xf numFmtId="0" fontId="10" fillId="2" borderId="8" xfId="1" applyFill="1" applyBorder="1" applyAlignment="1">
      <alignment horizontal="center" vertical="center"/>
    </xf>
    <xf numFmtId="0" fontId="10" fillId="0" borderId="8" xfId="1" applyBorder="1" applyAlignment="1">
      <alignment horizontal="center" vertical="center"/>
    </xf>
    <xf numFmtId="0" fontId="1" fillId="0" borderId="4" xfId="1" applyFont="1" applyBorder="1" applyAlignment="1">
      <alignment horizontal="center" vertical="center"/>
    </xf>
    <xf numFmtId="0" fontId="1" fillId="0" borderId="5" xfId="1" applyFont="1" applyBorder="1" applyAlignment="1">
      <alignment horizontal="center" vertical="center"/>
    </xf>
    <xf numFmtId="0" fontId="1" fillId="0" borderId="7" xfId="1" applyFont="1" applyBorder="1" applyAlignment="1">
      <alignment horizontal="center" vertical="center"/>
    </xf>
    <xf numFmtId="0" fontId="1" fillId="0" borderId="8" xfId="1" applyFont="1" applyBorder="1" applyAlignment="1">
      <alignment horizontal="center" vertical="center"/>
    </xf>
    <xf numFmtId="167" fontId="1" fillId="0" borderId="5" xfId="1" applyNumberFormat="1" applyFont="1" applyBorder="1" applyAlignment="1">
      <alignment horizontal="center" vertical="center"/>
    </xf>
    <xf numFmtId="167" fontId="1" fillId="0" borderId="6" xfId="1" applyNumberFormat="1" applyFont="1" applyBorder="1" applyAlignment="1">
      <alignment horizontal="center" vertical="center"/>
    </xf>
    <xf numFmtId="167" fontId="1" fillId="0" borderId="8" xfId="1" applyNumberFormat="1" applyFont="1" applyBorder="1" applyAlignment="1">
      <alignment horizontal="center" vertical="center"/>
    </xf>
    <xf numFmtId="167" fontId="1" fillId="0" borderId="9" xfId="1" applyNumberFormat="1" applyFont="1" applyBorder="1" applyAlignment="1">
      <alignment horizontal="center" vertical="center"/>
    </xf>
    <xf numFmtId="0" fontId="1" fillId="11" borderId="1" xfId="1" applyFont="1" applyFill="1" applyBorder="1" applyAlignment="1">
      <alignment horizontal="center" vertical="center"/>
    </xf>
    <xf numFmtId="0" fontId="1" fillId="11" borderId="2" xfId="1" applyFont="1" applyFill="1" applyBorder="1" applyAlignment="1">
      <alignment horizontal="center" vertical="center"/>
    </xf>
    <xf numFmtId="0" fontId="1" fillId="11" borderId="2" xfId="1" applyFont="1" applyFill="1" applyBorder="1" applyAlignment="1">
      <alignment horizontal="center" vertical="center" wrapText="1"/>
    </xf>
    <xf numFmtId="0" fontId="1" fillId="11" borderId="3" xfId="1" applyFont="1" applyFill="1" applyBorder="1" applyAlignment="1">
      <alignment horizontal="center" vertical="center" wrapText="1"/>
    </xf>
    <xf numFmtId="0" fontId="1" fillId="10" borderId="4" xfId="1" applyFont="1" applyFill="1" applyBorder="1" applyAlignment="1">
      <alignment horizontal="center" vertical="center"/>
    </xf>
    <xf numFmtId="0" fontId="1" fillId="10" borderId="5" xfId="1" applyFont="1" applyFill="1" applyBorder="1" applyAlignment="1">
      <alignment horizontal="center" vertical="center"/>
    </xf>
    <xf numFmtId="0" fontId="1" fillId="10" borderId="6" xfId="1" applyFont="1" applyFill="1" applyBorder="1" applyAlignment="1">
      <alignment horizontal="center" vertical="center"/>
    </xf>
    <xf numFmtId="4" fontId="2" fillId="0" borderId="5" xfId="0" applyNumberFormat="1" applyFont="1" applyBorder="1" applyAlignment="1">
      <alignment horizontal="center" vertical="center"/>
    </xf>
    <xf numFmtId="4" fontId="2" fillId="9" borderId="5"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0" borderId="5" xfId="0" applyNumberFormat="1" applyFont="1" applyBorder="1" applyAlignment="1">
      <alignment horizontal="center" vertical="center"/>
    </xf>
    <xf numFmtId="4" fontId="1" fillId="2" borderId="5" xfId="0" applyNumberFormat="1" applyFont="1" applyFill="1" applyBorder="1" applyAlignment="1">
      <alignment horizontal="center" vertical="center"/>
    </xf>
    <xf numFmtId="4" fontId="1" fillId="0" borderId="5" xfId="0" applyNumberFormat="1" applyFont="1" applyBorder="1" applyAlignment="1">
      <alignment horizontal="center" vertical="center"/>
    </xf>
    <xf numFmtId="4" fontId="3" fillId="9" borderId="8" xfId="0" applyNumberFormat="1" applyFont="1" applyFill="1" applyBorder="1" applyAlignment="1">
      <alignment horizontal="center" vertical="center"/>
    </xf>
    <xf numFmtId="2" fontId="3" fillId="2" borderId="3" xfId="0" applyNumberFormat="1" applyFont="1" applyFill="1" applyBorder="1" applyAlignment="1">
      <alignment horizontal="center" vertical="center"/>
    </xf>
    <xf numFmtId="0" fontId="75" fillId="0" borderId="5" xfId="0" applyFont="1" applyBorder="1" applyAlignment="1">
      <alignment horizontal="center" vertical="center"/>
    </xf>
    <xf numFmtId="167" fontId="75" fillId="2" borderId="6" xfId="0" applyNumberFormat="1" applyFont="1" applyFill="1" applyBorder="1" applyAlignment="1">
      <alignment horizontal="center" vertical="center"/>
    </xf>
    <xf numFmtId="167" fontId="75" fillId="0" borderId="6" xfId="0" applyNumberFormat="1" applyFont="1" applyBorder="1" applyAlignment="1">
      <alignment horizontal="center" vertical="center"/>
    </xf>
    <xf numFmtId="0" fontId="75" fillId="9" borderId="8" xfId="0" applyFont="1" applyFill="1" applyBorder="1" applyAlignment="1">
      <alignment horizontal="center" vertical="center"/>
    </xf>
    <xf numFmtId="167" fontId="75" fillId="9" borderId="9" xfId="0" applyNumberFormat="1" applyFont="1" applyFill="1" applyBorder="1" applyAlignment="1">
      <alignment horizontal="center" vertical="center"/>
    </xf>
    <xf numFmtId="3" fontId="10" fillId="2" borderId="8" xfId="1" applyNumberFormat="1" applyFill="1" applyBorder="1" applyAlignment="1">
      <alignment horizontal="center" vertical="center" wrapText="1"/>
    </xf>
    <xf numFmtId="4" fontId="10" fillId="2" borderId="8" xfId="1" applyNumberFormat="1" applyFill="1" applyBorder="1" applyAlignment="1">
      <alignment horizontal="center" vertical="center"/>
    </xf>
    <xf numFmtId="167" fontId="75" fillId="2" borderId="9" xfId="0" applyNumberFormat="1" applyFont="1" applyFill="1" applyBorder="1" applyAlignment="1">
      <alignment horizontal="center" vertical="center"/>
    </xf>
    <xf numFmtId="0" fontId="0" fillId="0" borderId="0" xfId="0" applyAlignment="1">
      <alignment wrapText="1"/>
    </xf>
    <xf numFmtId="0" fontId="23" fillId="0" borderId="4" xfId="3" applyBorder="1" applyAlignment="1">
      <alignment wrapText="1"/>
    </xf>
    <xf numFmtId="0" fontId="23" fillId="0" borderId="65" xfId="3" applyBorder="1"/>
    <xf numFmtId="0" fontId="21" fillId="0" borderId="4" xfId="2" applyBorder="1" applyAlignment="1">
      <alignment wrapText="1"/>
    </xf>
    <xf numFmtId="0" fontId="21" fillId="0" borderId="65" xfId="2" applyBorder="1"/>
    <xf numFmtId="0" fontId="27" fillId="0" borderId="4" xfId="2" applyFont="1" applyBorder="1" applyAlignment="1">
      <alignment wrapText="1"/>
    </xf>
    <xf numFmtId="0" fontId="27" fillId="0" borderId="65" xfId="2" applyFont="1" applyBorder="1"/>
    <xf numFmtId="2" fontId="23" fillId="0" borderId="6" xfId="3" applyNumberFormat="1" applyBorder="1" applyAlignment="1">
      <alignment horizontal="center" vertical="center"/>
    </xf>
    <xf numFmtId="0" fontId="23" fillId="0" borderId="7" xfId="3" applyBorder="1" applyAlignment="1">
      <alignment wrapText="1"/>
    </xf>
    <xf numFmtId="0" fontId="23" fillId="0" borderId="46" xfId="3" applyBorder="1"/>
    <xf numFmtId="0" fontId="23" fillId="9" borderId="4" xfId="3" applyFill="1" applyBorder="1" applyAlignment="1">
      <alignment wrapText="1"/>
    </xf>
    <xf numFmtId="0" fontId="23" fillId="9" borderId="65" xfId="3" applyFill="1" applyBorder="1"/>
    <xf numFmtId="0" fontId="28" fillId="9" borderId="4" xfId="3" applyFont="1" applyFill="1" applyBorder="1" applyAlignment="1">
      <alignment wrapText="1"/>
    </xf>
    <xf numFmtId="0" fontId="28" fillId="9" borderId="65" xfId="3" applyFont="1" applyFill="1" applyBorder="1"/>
    <xf numFmtId="0" fontId="28" fillId="9" borderId="7" xfId="3" applyFont="1" applyFill="1" applyBorder="1" applyAlignment="1">
      <alignment wrapText="1"/>
    </xf>
    <xf numFmtId="0" fontId="28" fillId="9" borderId="46" xfId="3" applyFont="1" applyFill="1" applyBorder="1"/>
    <xf numFmtId="167" fontId="0" fillId="0" borderId="0" xfId="0" applyNumberFormat="1"/>
    <xf numFmtId="167" fontId="75" fillId="0" borderId="5" xfId="0" applyNumberFormat="1" applyFont="1" applyBorder="1" applyAlignment="1">
      <alignment horizontal="center" vertical="center"/>
    </xf>
    <xf numFmtId="167" fontId="6" fillId="0" borderId="2" xfId="0" applyNumberFormat="1" applyFont="1" applyBorder="1" applyAlignment="1">
      <alignment horizontal="center" vertical="center"/>
    </xf>
    <xf numFmtId="167" fontId="6" fillId="0" borderId="3" xfId="0" applyNumberFormat="1" applyFont="1" applyBorder="1" applyAlignment="1">
      <alignment horizontal="center" vertical="center"/>
    </xf>
    <xf numFmtId="0" fontId="75" fillId="0" borderId="4" xfId="0" applyFont="1" applyBorder="1" applyAlignment="1">
      <alignment horizontal="center" vertical="center" wrapText="1"/>
    </xf>
    <xf numFmtId="0" fontId="75" fillId="9" borderId="7" xfId="0" applyFont="1" applyFill="1" applyBorder="1" applyAlignment="1">
      <alignment horizontal="center" vertical="center" wrapText="1"/>
    </xf>
    <xf numFmtId="167" fontId="75" fillId="9" borderId="8" xfId="0" applyNumberFormat="1" applyFont="1" applyFill="1" applyBorder="1" applyAlignment="1">
      <alignment horizontal="center" vertical="center"/>
    </xf>
    <xf numFmtId="0" fontId="75" fillId="7" borderId="1" xfId="0" applyFont="1" applyFill="1" applyBorder="1" applyAlignment="1">
      <alignment horizontal="center" vertical="center" wrapText="1"/>
    </xf>
    <xf numFmtId="0" fontId="75" fillId="7" borderId="2" xfId="0" applyFont="1" applyFill="1" applyBorder="1" applyAlignment="1">
      <alignment horizontal="center" vertical="center"/>
    </xf>
    <xf numFmtId="167" fontId="23" fillId="10" borderId="6" xfId="3" applyNumberFormat="1" applyFill="1" applyBorder="1" applyAlignment="1">
      <alignment horizontal="center" vertical="center"/>
    </xf>
    <xf numFmtId="0" fontId="23" fillId="10" borderId="6" xfId="3" applyFill="1" applyBorder="1" applyAlignment="1">
      <alignment horizontal="center" vertical="center"/>
    </xf>
    <xf numFmtId="0" fontId="2" fillId="2" borderId="2" xfId="0" applyFont="1" applyFill="1" applyBorder="1" applyAlignment="1">
      <alignment horizontal="center" vertical="center"/>
    </xf>
    <xf numFmtId="164" fontId="77" fillId="2" borderId="6" xfId="0" applyNumberFormat="1" applyFont="1" applyFill="1" applyBorder="1" applyAlignment="1">
      <alignment horizontal="center" vertical="center"/>
    </xf>
    <xf numFmtId="0" fontId="25" fillId="2" borderId="6" xfId="3" applyFont="1" applyFill="1" applyBorder="1" applyAlignment="1">
      <alignment horizontal="center" vertical="center"/>
    </xf>
    <xf numFmtId="167" fontId="75" fillId="2" borderId="5" xfId="0" applyNumberFormat="1" applyFont="1" applyFill="1" applyBorder="1" applyAlignment="1">
      <alignment horizontal="center" vertical="center"/>
    </xf>
    <xf numFmtId="3" fontId="75" fillId="2" borderId="5" xfId="0" applyNumberFormat="1" applyFont="1" applyFill="1" applyBorder="1" applyAlignment="1">
      <alignment horizontal="center" vertical="center"/>
    </xf>
    <xf numFmtId="4" fontId="75" fillId="2" borderId="5" xfId="0" applyNumberFormat="1" applyFont="1" applyFill="1" applyBorder="1" applyAlignment="1">
      <alignment horizontal="center" vertical="center"/>
    </xf>
    <xf numFmtId="0" fontId="2" fillId="7" borderId="4" xfId="0" applyFont="1" applyFill="1" applyBorder="1" applyAlignment="1">
      <alignment horizontal="center" vertical="center"/>
    </xf>
    <xf numFmtId="0" fontId="2" fillId="7" borderId="6" xfId="0" applyFont="1" applyFill="1" applyBorder="1" applyAlignment="1">
      <alignment horizontal="center" vertical="center"/>
    </xf>
    <xf numFmtId="0" fontId="0" fillId="7" borderId="6" xfId="0" applyFill="1" applyBorder="1" applyAlignment="1">
      <alignment horizontal="center" vertical="center"/>
    </xf>
    <xf numFmtId="0" fontId="75" fillId="7" borderId="4" xfId="0" applyFont="1" applyFill="1" applyBorder="1" applyAlignment="1">
      <alignment horizontal="center" vertical="center" wrapText="1"/>
    </xf>
    <xf numFmtId="0" fontId="75" fillId="7" borderId="5" xfId="0" applyFont="1" applyFill="1" applyBorder="1" applyAlignment="1">
      <alignment horizontal="center" vertical="center"/>
    </xf>
    <xf numFmtId="0" fontId="75" fillId="7" borderId="7" xfId="0" quotePrefix="1" applyFont="1" applyFill="1" applyBorder="1" applyAlignment="1">
      <alignment horizontal="center" vertical="center" wrapText="1"/>
    </xf>
    <xf numFmtId="167" fontId="75" fillId="0" borderId="2" xfId="0" applyNumberFormat="1" applyFont="1" applyBorder="1" applyAlignment="1">
      <alignment horizontal="center" vertical="center"/>
    </xf>
    <xf numFmtId="167" fontId="2" fillId="0" borderId="8" xfId="0" applyNumberFormat="1" applyFont="1" applyBorder="1" applyAlignment="1">
      <alignment horizontal="center" vertical="center"/>
    </xf>
    <xf numFmtId="0" fontId="2" fillId="16" borderId="5" xfId="0" applyFont="1" applyFill="1" applyBorder="1" applyAlignment="1">
      <alignment horizontal="center" vertical="center"/>
    </xf>
    <xf numFmtId="0" fontId="2" fillId="10" borderId="2" xfId="0" applyFont="1" applyFill="1" applyBorder="1" applyAlignment="1">
      <alignment horizontal="center" vertical="center"/>
    </xf>
    <xf numFmtId="0" fontId="0" fillId="10" borderId="5" xfId="0" applyFill="1" applyBorder="1" applyAlignment="1">
      <alignment horizontal="center" vertical="center"/>
    </xf>
    <xf numFmtId="0" fontId="2" fillId="10" borderId="8" xfId="0" applyFont="1" applyFill="1" applyBorder="1" applyAlignment="1">
      <alignment horizontal="center" vertical="center"/>
    </xf>
    <xf numFmtId="0" fontId="75" fillId="7" borderId="4" xfId="0" quotePrefix="1" applyFont="1" applyFill="1" applyBorder="1" applyAlignment="1">
      <alignment horizontal="center" vertical="center" wrapText="1"/>
    </xf>
    <xf numFmtId="4" fontId="2" fillId="0" borderId="8" xfId="0" applyNumberFormat="1" applyFont="1" applyBorder="1" applyAlignment="1">
      <alignment horizontal="center" vertical="center"/>
    </xf>
    <xf numFmtId="0" fontId="0" fillId="0" borderId="0" xfId="0" applyAlignment="1"/>
    <xf numFmtId="0" fontId="75" fillId="9" borderId="14" xfId="0" applyFont="1" applyFill="1" applyBorder="1" applyAlignment="1">
      <alignment horizontal="center" vertical="center"/>
    </xf>
    <xf numFmtId="0" fontId="2" fillId="2" borderId="5" xfId="0" applyFont="1"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5" fillId="2" borderId="4" xfId="0" applyFont="1" applyFill="1" applyBorder="1" applyAlignment="1">
      <alignment horizontal="center" vertical="center"/>
    </xf>
    <xf numFmtId="0" fontId="0" fillId="24" borderId="19" xfId="0" applyFill="1" applyBorder="1" applyAlignment="1">
      <alignment horizontal="center" vertical="center" wrapText="1"/>
    </xf>
    <xf numFmtId="0" fontId="0" fillId="24" borderId="19" xfId="0" applyFill="1" applyBorder="1" applyAlignment="1">
      <alignment horizontal="center" vertical="center"/>
    </xf>
    <xf numFmtId="0" fontId="85" fillId="0" borderId="72" xfId="0" applyFont="1" applyBorder="1" applyAlignment="1">
      <alignment horizontal="center" vertical="center" wrapText="1"/>
    </xf>
    <xf numFmtId="0" fontId="85" fillId="0" borderId="73" xfId="0" applyFont="1" applyBorder="1" applyAlignment="1">
      <alignment horizontal="center" vertical="center" wrapText="1"/>
    </xf>
    <xf numFmtId="0" fontId="85" fillId="0" borderId="74" xfId="0" applyFont="1" applyBorder="1" applyAlignment="1">
      <alignment horizontal="center" vertical="center" wrapText="1"/>
    </xf>
    <xf numFmtId="0" fontId="6" fillId="2" borderId="6" xfId="0" applyFont="1" applyFill="1" applyBorder="1" applyAlignment="1">
      <alignment horizontal="center" vertical="center"/>
    </xf>
    <xf numFmtId="0" fontId="86" fillId="25" borderId="4" xfId="0" applyFont="1" applyFill="1" applyBorder="1" applyAlignment="1">
      <alignment horizontal="center" vertical="center"/>
    </xf>
    <xf numFmtId="164" fontId="86" fillId="25" borderId="5" xfId="0" applyNumberFormat="1" applyFont="1" applyFill="1" applyBorder="1" applyAlignment="1">
      <alignment horizontal="center" vertical="center"/>
    </xf>
    <xf numFmtId="0" fontId="86" fillId="25" borderId="6" xfId="0" applyFont="1" applyFill="1" applyBorder="1" applyAlignment="1">
      <alignment horizontal="center" vertical="center"/>
    </xf>
    <xf numFmtId="0" fontId="0" fillId="16" borderId="4" xfId="0" applyFill="1" applyBorder="1" applyAlignment="1">
      <alignment horizontal="center" vertical="center"/>
    </xf>
    <xf numFmtId="0" fontId="86" fillId="6" borderId="9" xfId="0" applyFont="1" applyFill="1" applyBorder="1" applyAlignment="1">
      <alignment horizontal="center" vertical="center"/>
    </xf>
    <xf numFmtId="0" fontId="75" fillId="0" borderId="6" xfId="0" applyFont="1" applyBorder="1" applyAlignment="1">
      <alignment horizontal="center" vertical="center"/>
    </xf>
    <xf numFmtId="0" fontId="6" fillId="23" borderId="71" xfId="0" applyFont="1" applyFill="1" applyBorder="1" applyAlignment="1">
      <alignment horizontal="center" vertical="center"/>
    </xf>
    <xf numFmtId="0" fontId="17" fillId="23" borderId="72" xfId="0" applyFont="1" applyFill="1" applyBorder="1" applyAlignment="1">
      <alignment horizontal="center" vertical="center" wrapText="1"/>
    </xf>
    <xf numFmtId="0" fontId="17" fillId="23" borderId="73" xfId="0" applyFont="1" applyFill="1" applyBorder="1" applyAlignment="1">
      <alignment horizontal="center" vertical="center" wrapText="1"/>
    </xf>
    <xf numFmtId="0" fontId="17" fillId="23" borderId="74" xfId="0" applyFont="1" applyFill="1" applyBorder="1" applyAlignment="1">
      <alignment horizontal="center" vertical="center" wrapText="1"/>
    </xf>
    <xf numFmtId="0" fontId="85" fillId="7" borderId="73" xfId="0" applyFont="1" applyFill="1" applyBorder="1" applyAlignment="1">
      <alignment horizontal="center" vertical="center" wrapText="1"/>
    </xf>
    <xf numFmtId="0" fontId="85" fillId="9" borderId="73" xfId="0" applyFont="1" applyFill="1" applyBorder="1" applyAlignment="1">
      <alignment horizontal="center" vertical="center" wrapText="1"/>
    </xf>
    <xf numFmtId="1" fontId="6" fillId="2" borderId="5" xfId="0" applyNumberFormat="1" applyFont="1" applyFill="1" applyBorder="1" applyAlignment="1">
      <alignment horizontal="center" vertical="center"/>
    </xf>
    <xf numFmtId="0" fontId="6" fillId="7" borderId="4" xfId="0" applyFont="1" applyFill="1" applyBorder="1" applyAlignment="1">
      <alignment horizontal="center" vertical="center"/>
    </xf>
    <xf numFmtId="164" fontId="6" fillId="7" borderId="5" xfId="0" applyNumberFormat="1" applyFont="1" applyFill="1" applyBorder="1" applyAlignment="1">
      <alignment horizontal="center" vertical="center"/>
    </xf>
    <xf numFmtId="0" fontId="6" fillId="7" borderId="6" xfId="0" applyFont="1" applyFill="1" applyBorder="1" applyAlignment="1">
      <alignment horizontal="center" vertical="center"/>
    </xf>
    <xf numFmtId="165" fontId="6" fillId="2" borderId="5" xfId="0" applyNumberFormat="1" applyFont="1" applyFill="1" applyBorder="1" applyAlignment="1">
      <alignment horizontal="center" vertical="center"/>
    </xf>
    <xf numFmtId="0" fontId="88" fillId="22" borderId="4" xfId="0" applyFont="1" applyFill="1" applyBorder="1" applyAlignment="1">
      <alignment horizontal="center" vertical="center"/>
    </xf>
    <xf numFmtId="0" fontId="88" fillId="22" borderId="5" xfId="0" applyFont="1" applyFill="1" applyBorder="1" applyAlignment="1">
      <alignment horizontal="center" vertical="center"/>
    </xf>
    <xf numFmtId="0" fontId="88" fillId="22" borderId="6" xfId="0" applyFont="1" applyFill="1" applyBorder="1" applyAlignment="1">
      <alignment horizontal="center" vertical="center"/>
    </xf>
    <xf numFmtId="0" fontId="86" fillId="25" borderId="7" xfId="0" applyFont="1" applyFill="1" applyBorder="1" applyAlignment="1">
      <alignment horizontal="center" vertical="center"/>
    </xf>
    <xf numFmtId="164" fontId="86" fillId="25" borderId="8" xfId="0" applyNumberFormat="1" applyFont="1" applyFill="1" applyBorder="1" applyAlignment="1">
      <alignment horizontal="center" vertical="center"/>
    </xf>
    <xf numFmtId="0" fontId="86" fillId="25" borderId="9" xfId="0" applyFont="1" applyFill="1" applyBorder="1" applyAlignment="1">
      <alignment horizontal="center" vertical="center"/>
    </xf>
    <xf numFmtId="164" fontId="25" fillId="7" borderId="6" xfId="3" applyNumberFormat="1" applyFont="1" applyFill="1" applyBorder="1" applyAlignment="1">
      <alignment horizontal="center" vertical="center"/>
    </xf>
    <xf numFmtId="0" fontId="25" fillId="7" borderId="6" xfId="3" applyFont="1" applyFill="1" applyBorder="1" applyAlignment="1">
      <alignment horizontal="center" vertical="center"/>
    </xf>
    <xf numFmtId="0" fontId="23" fillId="7" borderId="6" xfId="3" applyFill="1" applyBorder="1" applyAlignment="1">
      <alignment horizontal="center" vertical="center"/>
    </xf>
    <xf numFmtId="0" fontId="75" fillId="2" borderId="5" xfId="0" applyFont="1" applyFill="1" applyBorder="1" applyAlignment="1">
      <alignment horizontal="center" vertical="center"/>
    </xf>
    <xf numFmtId="0" fontId="75" fillId="2" borderId="5" xfId="0" applyFont="1" applyFill="1" applyBorder="1" applyAlignment="1">
      <alignment vertical="center"/>
    </xf>
    <xf numFmtId="4" fontId="75" fillId="0" borderId="5" xfId="0" applyNumberFormat="1" applyFont="1" applyBorder="1" applyAlignment="1">
      <alignment horizontal="center" vertical="center"/>
    </xf>
    <xf numFmtId="165" fontId="2" fillId="2" borderId="5" xfId="0" applyNumberFormat="1" applyFont="1" applyFill="1" applyBorder="1" applyAlignment="1">
      <alignment horizontal="center" vertical="center"/>
    </xf>
    <xf numFmtId="1" fontId="23" fillId="10" borderId="6" xfId="3" applyNumberFormat="1" applyFont="1" applyFill="1" applyBorder="1" applyAlignment="1">
      <alignment horizontal="center" vertical="center"/>
    </xf>
    <xf numFmtId="1" fontId="26" fillId="0" borderId="6" xfId="3" applyNumberFormat="1" applyFont="1" applyBorder="1" applyAlignment="1">
      <alignment horizontal="center" vertical="center"/>
    </xf>
    <xf numFmtId="0" fontId="5" fillId="2" borderId="5"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16" borderId="4" xfId="0" applyFont="1" applyFill="1" applyBorder="1" applyAlignment="1">
      <alignment horizontal="center" vertical="center"/>
    </xf>
    <xf numFmtId="0" fontId="5" fillId="16" borderId="5" xfId="0" applyFont="1" applyFill="1" applyBorder="1" applyAlignment="1">
      <alignment horizontal="center" vertical="center" wrapText="1"/>
    </xf>
    <xf numFmtId="164" fontId="5" fillId="16" borderId="6" xfId="0" applyNumberFormat="1" applyFont="1" applyFill="1" applyBorder="1" applyAlignment="1">
      <alignment horizontal="center" vertical="center"/>
    </xf>
    <xf numFmtId="164" fontId="18" fillId="16" borderId="6" xfId="0" applyNumberFormat="1" applyFont="1" applyFill="1" applyBorder="1" applyAlignment="1">
      <alignment horizontal="center" vertical="center"/>
    </xf>
    <xf numFmtId="0" fontId="5" fillId="11" borderId="7" xfId="0" applyFont="1" applyFill="1" applyBorder="1" applyAlignment="1">
      <alignment horizontal="center" vertical="center"/>
    </xf>
    <xf numFmtId="0" fontId="5" fillId="11" borderId="8" xfId="0" applyFont="1" applyFill="1" applyBorder="1" applyAlignment="1">
      <alignment horizontal="center" vertical="center" wrapText="1"/>
    </xf>
    <xf numFmtId="164" fontId="18" fillId="11" borderId="9" xfId="0" applyNumberFormat="1" applyFont="1" applyFill="1" applyBorder="1" applyAlignment="1">
      <alignment horizontal="center" vertical="center"/>
    </xf>
    <xf numFmtId="0" fontId="75" fillId="7" borderId="8" xfId="0" applyFont="1" applyFill="1" applyBorder="1" applyAlignment="1">
      <alignment horizontal="center" vertical="center" wrapText="1"/>
    </xf>
    <xf numFmtId="0" fontId="75" fillId="7" borderId="5" xfId="0" applyFont="1" applyFill="1" applyBorder="1" applyAlignment="1">
      <alignment horizontal="center" vertical="center" wrapText="1"/>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5" fillId="8" borderId="6" xfId="0" applyFont="1" applyFill="1" applyBorder="1" applyAlignment="1">
      <alignment horizontal="center" vertical="center"/>
    </xf>
    <xf numFmtId="0" fontId="50" fillId="10" borderId="1" xfId="0" applyFont="1" applyFill="1" applyBorder="1" applyAlignment="1">
      <alignment horizontal="center"/>
    </xf>
    <xf numFmtId="0" fontId="6" fillId="10" borderId="4" xfId="0" applyFont="1" applyFill="1" applyBorder="1" applyAlignment="1">
      <alignment horizontal="center"/>
    </xf>
    <xf numFmtId="0" fontId="2" fillId="10" borderId="7" xfId="0" applyFont="1" applyFill="1" applyBorder="1" applyAlignment="1">
      <alignment horizontal="center"/>
    </xf>
    <xf numFmtId="0" fontId="75" fillId="19" borderId="4" xfId="0" applyFont="1" applyFill="1" applyBorder="1" applyAlignment="1">
      <alignment horizontal="center" vertical="center"/>
    </xf>
    <xf numFmtId="0" fontId="75" fillId="19" borderId="13" xfId="0" applyFont="1" applyFill="1" applyBorder="1" applyAlignment="1">
      <alignment horizontal="center" vertical="center"/>
    </xf>
    <xf numFmtId="0" fontId="75" fillId="19" borderId="13" xfId="0" quotePrefix="1" applyFont="1" applyFill="1" applyBorder="1" applyAlignment="1">
      <alignment horizontal="center" vertical="center" wrapText="1"/>
    </xf>
    <xf numFmtId="0" fontId="1" fillId="26" borderId="7" xfId="0" applyFont="1" applyFill="1" applyBorder="1" applyAlignment="1">
      <alignment horizontal="center" vertical="center" wrapText="1"/>
    </xf>
    <xf numFmtId="165" fontId="3" fillId="26" borderId="8" xfId="0" applyNumberFormat="1" applyFont="1" applyFill="1" applyBorder="1" applyAlignment="1">
      <alignment horizontal="center" vertical="center"/>
    </xf>
    <xf numFmtId="0" fontId="1" fillId="26" borderId="9" xfId="0" applyFont="1" applyFill="1" applyBorder="1" applyAlignment="1">
      <alignment horizontal="center" vertical="center"/>
    </xf>
    <xf numFmtId="0" fontId="1" fillId="19" borderId="4" xfId="0" applyFont="1" applyFill="1" applyBorder="1" applyAlignment="1">
      <alignment horizontal="center" vertical="center"/>
    </xf>
    <xf numFmtId="0" fontId="1" fillId="19" borderId="6" xfId="0" applyFont="1" applyFill="1" applyBorder="1" applyAlignment="1">
      <alignment horizontal="center" vertical="center"/>
    </xf>
    <xf numFmtId="0" fontId="1" fillId="9" borderId="4" xfId="0" applyFont="1" applyFill="1" applyBorder="1" applyAlignment="1">
      <alignment horizontal="center" vertical="center"/>
    </xf>
    <xf numFmtId="1" fontId="3" fillId="9" borderId="5" xfId="0" applyNumberFormat="1" applyFont="1" applyFill="1" applyBorder="1" applyAlignment="1">
      <alignment horizontal="center" vertical="center"/>
    </xf>
    <xf numFmtId="0" fontId="0" fillId="9" borderId="5" xfId="0" applyFill="1" applyBorder="1" applyAlignment="1">
      <alignment horizontal="center" vertical="center"/>
    </xf>
    <xf numFmtId="0" fontId="0" fillId="9" borderId="6" xfId="0" applyFill="1" applyBorder="1" applyAlignment="1">
      <alignment horizontal="center" vertical="center"/>
    </xf>
    <xf numFmtId="167" fontId="0" fillId="9" borderId="5" xfId="0" applyNumberFormat="1" applyFill="1" applyBorder="1" applyAlignment="1">
      <alignment horizontal="center" vertical="center"/>
    </xf>
    <xf numFmtId="165" fontId="0" fillId="9" borderId="5" xfId="0" applyNumberFormat="1" applyFill="1" applyBorder="1" applyAlignment="1">
      <alignment horizontal="center" vertical="center"/>
    </xf>
    <xf numFmtId="0" fontId="1" fillId="2" borderId="5" xfId="0" applyFont="1" applyFill="1" applyBorder="1" applyAlignment="1">
      <alignment horizontal="center" vertical="center"/>
    </xf>
    <xf numFmtId="0" fontId="1" fillId="9" borderId="8" xfId="0" applyFont="1" applyFill="1" applyBorder="1" applyAlignment="1">
      <alignment horizontal="center" vertical="center"/>
    </xf>
    <xf numFmtId="0" fontId="0" fillId="2" borderId="10" xfId="0" applyFont="1" applyFill="1" applyBorder="1" applyAlignment="1">
      <alignment horizontal="right" vertical="center" wrapText="1" readingOrder="2"/>
    </xf>
    <xf numFmtId="0" fontId="0" fillId="2" borderId="11" xfId="0" applyFont="1" applyFill="1" applyBorder="1" applyAlignment="1">
      <alignment horizontal="right" vertical="center" readingOrder="2"/>
    </xf>
    <xf numFmtId="0" fontId="0" fillId="2" borderId="12" xfId="0" applyFont="1" applyFill="1" applyBorder="1" applyAlignment="1">
      <alignment horizontal="right" vertical="center" readingOrder="2"/>
    </xf>
    <xf numFmtId="0" fontId="0" fillId="24" borderId="10" xfId="0" applyFill="1" applyBorder="1" applyAlignment="1">
      <alignment horizontal="center" vertical="center" wrapText="1"/>
    </xf>
    <xf numFmtId="0" fontId="0" fillId="24" borderId="11" xfId="0" applyFill="1" applyBorder="1" applyAlignment="1">
      <alignment horizontal="center" vertical="center" wrapText="1"/>
    </xf>
    <xf numFmtId="0" fontId="0" fillId="24" borderId="12" xfId="0" applyFill="1" applyBorder="1" applyAlignment="1">
      <alignment horizontal="center" vertical="center" wrapText="1"/>
    </xf>
    <xf numFmtId="0" fontId="0" fillId="2" borderId="10" xfId="0" applyFont="1" applyFill="1" applyBorder="1" applyAlignment="1">
      <alignment horizontal="left" vertical="center" wrapText="1" readingOrder="1"/>
    </xf>
    <xf numFmtId="0" fontId="0" fillId="2" borderId="11" xfId="0" applyFont="1" applyFill="1" applyBorder="1" applyAlignment="1">
      <alignment horizontal="left" vertical="center" readingOrder="1"/>
    </xf>
    <xf numFmtId="0" fontId="0" fillId="2" borderId="12" xfId="0" applyFont="1" applyFill="1" applyBorder="1" applyAlignment="1">
      <alignment horizontal="left" vertical="center" readingOrder="1"/>
    </xf>
    <xf numFmtId="0" fontId="74" fillId="19" borderId="20" xfId="0" applyFont="1" applyFill="1" applyBorder="1" applyAlignment="1">
      <alignment horizontal="center" vertical="center" wrapText="1"/>
    </xf>
    <xf numFmtId="0" fontId="74" fillId="19" borderId="21" xfId="0" applyFont="1" applyFill="1" applyBorder="1" applyAlignment="1">
      <alignment horizontal="center" vertical="center" wrapText="1"/>
    </xf>
    <xf numFmtId="0" fontId="74" fillId="19" borderId="22" xfId="0" applyFont="1" applyFill="1" applyBorder="1" applyAlignment="1">
      <alignment horizontal="center" vertical="center" wrapText="1"/>
    </xf>
    <xf numFmtId="0" fontId="74" fillId="19" borderId="23" xfId="0" applyFont="1" applyFill="1" applyBorder="1" applyAlignment="1">
      <alignment horizontal="center" vertical="center" wrapText="1"/>
    </xf>
    <xf numFmtId="0" fontId="74" fillId="19" borderId="18" xfId="0" applyFont="1" applyFill="1" applyBorder="1" applyAlignment="1">
      <alignment horizontal="center" vertical="center" wrapText="1"/>
    </xf>
    <xf numFmtId="0" fontId="74" fillId="19" borderId="24"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76" fillId="4" borderId="1" xfId="0" applyFont="1" applyFill="1" applyBorder="1" applyAlignment="1">
      <alignment horizontal="center" vertical="center"/>
    </xf>
    <xf numFmtId="0" fontId="76" fillId="4" borderId="2" xfId="0" applyFont="1" applyFill="1" applyBorder="1" applyAlignment="1">
      <alignment horizontal="center" vertical="center"/>
    </xf>
    <xf numFmtId="0" fontId="76" fillId="4" borderId="3"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70" xfId="0" applyFont="1" applyFill="1" applyBorder="1" applyAlignment="1">
      <alignment horizontal="center" vertical="center"/>
    </xf>
    <xf numFmtId="0" fontId="0" fillId="24" borderId="58" xfId="0" applyFill="1" applyBorder="1" applyAlignment="1">
      <alignment horizontal="center" vertical="center"/>
    </xf>
    <xf numFmtId="0" fontId="0" fillId="24" borderId="59" xfId="0" applyFill="1" applyBorder="1" applyAlignment="1">
      <alignment horizontal="center" vertical="center"/>
    </xf>
    <xf numFmtId="0" fontId="0" fillId="24" borderId="60" xfId="0" applyFill="1" applyBorder="1" applyAlignment="1">
      <alignment horizontal="center"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7" fillId="23" borderId="10" xfId="0" applyFont="1" applyFill="1" applyBorder="1" applyAlignment="1">
      <alignment horizontal="center" vertical="center" wrapText="1"/>
    </xf>
    <xf numFmtId="0" fontId="7" fillId="23" borderId="11" xfId="0" applyFont="1" applyFill="1" applyBorder="1" applyAlignment="1">
      <alignment horizontal="center" vertical="center" wrapText="1"/>
    </xf>
    <xf numFmtId="0" fontId="7" fillId="23" borderId="12" xfId="0" applyFont="1" applyFill="1" applyBorder="1" applyAlignment="1">
      <alignment horizontal="center" vertical="center" wrapText="1"/>
    </xf>
    <xf numFmtId="0" fontId="7" fillId="23" borderId="20" xfId="0" applyFont="1" applyFill="1" applyBorder="1" applyAlignment="1">
      <alignment horizontal="center" vertical="center" wrapText="1"/>
    </xf>
    <xf numFmtId="0" fontId="7" fillId="23" borderId="21" xfId="0" applyFont="1" applyFill="1" applyBorder="1" applyAlignment="1">
      <alignment horizontal="center" vertical="center" wrapText="1"/>
    </xf>
    <xf numFmtId="0" fontId="7" fillId="23" borderId="22" xfId="0" applyFont="1" applyFill="1" applyBorder="1" applyAlignment="1">
      <alignment horizontal="center" vertical="center" wrapText="1"/>
    </xf>
    <xf numFmtId="0" fontId="7" fillId="23" borderId="23" xfId="0" applyFont="1" applyFill="1" applyBorder="1" applyAlignment="1">
      <alignment horizontal="center" vertical="center" wrapText="1"/>
    </xf>
    <xf numFmtId="0" fontId="7" fillId="23" borderId="18" xfId="0" applyFont="1" applyFill="1" applyBorder="1" applyAlignment="1">
      <alignment horizontal="center" vertical="center" wrapText="1"/>
    </xf>
    <xf numFmtId="0" fontId="7" fillId="23" borderId="24" xfId="0" applyFont="1" applyFill="1" applyBorder="1" applyAlignment="1">
      <alignment horizontal="center" vertical="center" wrapText="1"/>
    </xf>
    <xf numFmtId="0" fontId="32" fillId="8" borderId="1" xfId="3" applyFont="1" applyFill="1" applyBorder="1" applyAlignment="1">
      <alignment horizontal="center" vertical="center" wrapText="1"/>
    </xf>
    <xf numFmtId="0" fontId="32" fillId="8" borderId="3" xfId="3" applyFont="1" applyFill="1" applyBorder="1" applyAlignment="1">
      <alignment horizontal="center" vertical="center" wrapText="1"/>
    </xf>
    <xf numFmtId="0" fontId="33" fillId="4" borderId="10" xfId="3" applyFont="1" applyFill="1" applyBorder="1" applyAlignment="1">
      <alignment horizontal="center"/>
    </xf>
    <xf numFmtId="0" fontId="33" fillId="4" borderId="11" xfId="3" applyFont="1" applyFill="1" applyBorder="1" applyAlignment="1">
      <alignment horizontal="center"/>
    </xf>
    <xf numFmtId="0" fontId="33" fillId="4" borderId="12" xfId="3" applyFont="1" applyFill="1" applyBorder="1" applyAlignment="1">
      <alignment horizontal="center"/>
    </xf>
    <xf numFmtId="0" fontId="55" fillId="2" borderId="13" xfId="3" applyFont="1" applyFill="1" applyBorder="1" applyAlignment="1">
      <alignment horizontal="center" vertical="center" wrapText="1"/>
    </xf>
    <xf numFmtId="0" fontId="55" fillId="2" borderId="15" xfId="3" applyFont="1" applyFill="1" applyBorder="1" applyAlignment="1">
      <alignment horizontal="center" vertical="center"/>
    </xf>
    <xf numFmtId="0" fontId="34" fillId="4" borderId="11" xfId="3" applyFont="1" applyFill="1" applyBorder="1" applyAlignment="1">
      <alignment horizontal="center"/>
    </xf>
    <xf numFmtId="0" fontId="34" fillId="4" borderId="12" xfId="3" applyFont="1" applyFill="1" applyBorder="1" applyAlignment="1">
      <alignment horizontal="center"/>
    </xf>
    <xf numFmtId="0" fontId="33" fillId="0" borderId="11" xfId="3" applyFont="1" applyBorder="1" applyAlignment="1">
      <alignment horizontal="center" wrapText="1"/>
    </xf>
    <xf numFmtId="0" fontId="33" fillId="0" borderId="12" xfId="3" applyFont="1" applyBorder="1" applyAlignment="1">
      <alignment horizontal="center" wrapText="1"/>
    </xf>
    <xf numFmtId="0" fontId="33" fillId="0" borderId="11" xfId="3" applyFont="1" applyBorder="1" applyAlignment="1">
      <alignment horizontal="center"/>
    </xf>
    <xf numFmtId="0" fontId="33" fillId="0" borderId="12" xfId="3" applyFont="1" applyBorder="1" applyAlignment="1">
      <alignment horizontal="center"/>
    </xf>
    <xf numFmtId="0" fontId="23" fillId="0" borderId="64" xfId="3" applyBorder="1" applyAlignment="1">
      <alignment horizontal="center"/>
    </xf>
    <xf numFmtId="0" fontId="23" fillId="0" borderId="66" xfId="3" applyBorder="1" applyAlignment="1">
      <alignment horizontal="center"/>
    </xf>
    <xf numFmtId="0" fontId="25" fillId="0" borderId="64" xfId="3" applyFont="1" applyBorder="1" applyAlignment="1">
      <alignment horizontal="center"/>
    </xf>
    <xf numFmtId="0" fontId="25" fillId="0" borderId="66" xfId="3" applyFont="1" applyBorder="1" applyAlignment="1">
      <alignment horizontal="center"/>
    </xf>
    <xf numFmtId="0" fontId="25" fillId="0" borderId="42" xfId="3" applyFont="1" applyBorder="1" applyAlignment="1">
      <alignment horizontal="center"/>
    </xf>
    <xf numFmtId="0" fontId="25" fillId="0" borderId="44" xfId="3" applyFont="1" applyBorder="1" applyAlignment="1">
      <alignment horizontal="center"/>
    </xf>
    <xf numFmtId="0" fontId="24" fillId="0" borderId="0" xfId="3" applyFont="1" applyAlignment="1">
      <alignment horizontal="center"/>
    </xf>
    <xf numFmtId="0" fontId="25" fillId="0" borderId="42" xfId="3" applyFont="1" applyBorder="1" applyAlignment="1">
      <alignment horizontal="center" vertical="center"/>
    </xf>
    <xf numFmtId="0" fontId="25" fillId="0" borderId="44" xfId="3" applyFont="1" applyBorder="1" applyAlignment="1">
      <alignment horizontal="center" vertical="center"/>
    </xf>
    <xf numFmtId="0" fontId="22" fillId="10" borderId="5" xfId="2" applyFont="1" applyFill="1" applyBorder="1" applyAlignment="1">
      <alignment horizontal="center" wrapText="1"/>
    </xf>
    <xf numFmtId="0" fontId="0" fillId="0" borderId="5"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43" fillId="0" borderId="20"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18" xfId="0" applyFont="1" applyBorder="1" applyAlignment="1">
      <alignment horizontal="center" vertical="center" wrapText="1"/>
    </xf>
    <xf numFmtId="0" fontId="43" fillId="0" borderId="24" xfId="0" applyFont="1" applyBorder="1" applyAlignment="1">
      <alignment horizontal="center" vertical="center" wrapText="1"/>
    </xf>
    <xf numFmtId="0" fontId="0" fillId="0" borderId="6" xfId="0" applyBorder="1" applyAlignment="1" applyProtection="1">
      <alignment horizontal="center" vertical="center" wrapText="1"/>
      <protection hidden="1"/>
    </xf>
    <xf numFmtId="0" fontId="38" fillId="0" borderId="0" xfId="0" applyFont="1" applyAlignment="1" applyProtection="1">
      <alignment horizontal="center" vertical="center"/>
      <protection hidden="1"/>
    </xf>
    <xf numFmtId="0" fontId="35" fillId="0" borderId="5" xfId="0" applyFont="1" applyBorder="1" applyAlignment="1">
      <alignment horizontal="center"/>
    </xf>
    <xf numFmtId="0" fontId="3" fillId="13" borderId="35" xfId="0" applyFont="1" applyFill="1" applyBorder="1" applyAlignment="1">
      <alignment horizontal="center"/>
    </xf>
    <xf numFmtId="0" fontId="3" fillId="13" borderId="36" xfId="0" applyFont="1" applyFill="1" applyBorder="1" applyAlignment="1">
      <alignment horizontal="center"/>
    </xf>
    <xf numFmtId="0" fontId="3" fillId="13" borderId="37" xfId="0" applyFont="1" applyFill="1" applyBorder="1" applyAlignment="1">
      <alignment horizontal="center"/>
    </xf>
    <xf numFmtId="0" fontId="0" fillId="0" borderId="0" xfId="0" applyAlignment="1">
      <alignment horizontal="center"/>
    </xf>
    <xf numFmtId="0" fontId="40" fillId="24" borderId="20" xfId="0" applyFont="1" applyFill="1" applyBorder="1" applyAlignment="1">
      <alignment horizontal="center" vertical="center"/>
    </xf>
    <xf numFmtId="0" fontId="40" fillId="24" borderId="21" xfId="0" applyFont="1" applyFill="1" applyBorder="1" applyAlignment="1">
      <alignment horizontal="center" vertical="center"/>
    </xf>
    <xf numFmtId="0" fontId="40" fillId="24" borderId="22" xfId="0" applyFont="1" applyFill="1" applyBorder="1" applyAlignment="1">
      <alignment horizontal="center" vertical="center"/>
    </xf>
    <xf numFmtId="0" fontId="9" fillId="24" borderId="23" xfId="0" applyFont="1" applyFill="1" applyBorder="1" applyAlignment="1">
      <alignment horizontal="center" vertical="center" wrapText="1"/>
    </xf>
    <xf numFmtId="0" fontId="9" fillId="24" borderId="18" xfId="0" applyFont="1" applyFill="1" applyBorder="1" applyAlignment="1">
      <alignment horizontal="center" vertical="center" wrapText="1"/>
    </xf>
    <xf numFmtId="0" fontId="9" fillId="24" borderId="24" xfId="0" applyFont="1" applyFill="1" applyBorder="1" applyAlignment="1">
      <alignment horizontal="center" vertical="center" wrapText="1"/>
    </xf>
    <xf numFmtId="0" fontId="30" fillId="8" borderId="20" xfId="2" applyFont="1" applyFill="1" applyBorder="1" applyAlignment="1">
      <alignment horizontal="center" vertical="center" wrapText="1"/>
    </xf>
    <xf numFmtId="0" fontId="30" fillId="8" borderId="21" xfId="2" applyFont="1" applyFill="1" applyBorder="1" applyAlignment="1">
      <alignment horizontal="center" vertical="center" wrapText="1"/>
    </xf>
    <xf numFmtId="0" fontId="30" fillId="8" borderId="22" xfId="2" applyFont="1" applyFill="1" applyBorder="1" applyAlignment="1">
      <alignment horizontal="center" vertical="center" wrapText="1"/>
    </xf>
    <xf numFmtId="0" fontId="30" fillId="8" borderId="23" xfId="2" applyFont="1" applyFill="1" applyBorder="1" applyAlignment="1">
      <alignment horizontal="center" vertical="center" wrapText="1"/>
    </xf>
    <xf numFmtId="0" fontId="30" fillId="8" borderId="18" xfId="2" applyFont="1" applyFill="1" applyBorder="1" applyAlignment="1">
      <alignment horizontal="center" vertical="center" wrapText="1"/>
    </xf>
    <xf numFmtId="0" fontId="30" fillId="8" borderId="24" xfId="2" applyFont="1" applyFill="1" applyBorder="1" applyAlignment="1">
      <alignment horizontal="center" vertical="center" wrapText="1"/>
    </xf>
    <xf numFmtId="0" fontId="7" fillId="0" borderId="10" xfId="0" applyFont="1" applyBorder="1" applyAlignment="1">
      <alignment horizontal="center"/>
    </xf>
    <xf numFmtId="0" fontId="7" fillId="0" borderId="12" xfId="0" applyFont="1" applyBorder="1" applyAlignment="1">
      <alignment horizontal="center"/>
    </xf>
    <xf numFmtId="0" fontId="4" fillId="4" borderId="1" xfId="0" applyFont="1"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5" fillId="4" borderId="1" xfId="0" applyFont="1" applyFill="1" applyBorder="1" applyAlignment="1">
      <alignment horizontal="center" vertical="center"/>
    </xf>
    <xf numFmtId="0" fontId="73" fillId="19" borderId="20" xfId="0" applyFont="1" applyFill="1" applyBorder="1" applyAlignment="1">
      <alignment horizontal="center" vertical="center" wrapText="1"/>
    </xf>
    <xf numFmtId="0" fontId="73" fillId="19" borderId="21" xfId="0" applyFont="1" applyFill="1" applyBorder="1" applyAlignment="1">
      <alignment horizontal="center" vertical="center" wrapText="1"/>
    </xf>
    <xf numFmtId="0" fontId="73" fillId="19" borderId="22" xfId="0" applyFont="1" applyFill="1" applyBorder="1" applyAlignment="1">
      <alignment horizontal="center" vertical="center" wrapText="1"/>
    </xf>
    <xf numFmtId="0" fontId="73" fillId="19" borderId="23" xfId="0" applyFont="1" applyFill="1" applyBorder="1" applyAlignment="1">
      <alignment horizontal="center" vertical="center" wrapText="1"/>
    </xf>
    <xf numFmtId="0" fontId="73" fillId="19" borderId="18" xfId="0" applyFont="1" applyFill="1" applyBorder="1" applyAlignment="1">
      <alignment horizontal="center" vertical="center" wrapText="1"/>
    </xf>
    <xf numFmtId="0" fontId="73" fillId="19" borderId="24" xfId="0" applyFont="1" applyFill="1" applyBorder="1" applyAlignment="1">
      <alignment horizontal="center" vertical="center" wrapText="1"/>
    </xf>
    <xf numFmtId="0" fontId="41" fillId="11" borderId="45" xfId="0" applyFont="1" applyFill="1" applyBorder="1" applyAlignment="1">
      <alignment horizontal="center" vertical="center"/>
    </xf>
    <xf numFmtId="0" fontId="41" fillId="11" borderId="46" xfId="0" applyFont="1" applyFill="1" applyBorder="1" applyAlignment="1">
      <alignment horizontal="center" vertical="center"/>
    </xf>
    <xf numFmtId="0" fontId="41" fillId="11" borderId="47" xfId="0" applyFont="1" applyFill="1" applyBorder="1" applyAlignment="1">
      <alignment horizontal="center" vertical="center"/>
    </xf>
    <xf numFmtId="0" fontId="41" fillId="11" borderId="20" xfId="0" applyFont="1" applyFill="1" applyBorder="1" applyAlignment="1">
      <alignment horizontal="center" vertical="center" wrapText="1"/>
    </xf>
    <xf numFmtId="0" fontId="41" fillId="11" borderId="21" xfId="0" applyFont="1" applyFill="1" applyBorder="1" applyAlignment="1">
      <alignment horizontal="center" vertical="center" wrapText="1"/>
    </xf>
    <xf numFmtId="0" fontId="41" fillId="11" borderId="22" xfId="0" applyFont="1" applyFill="1" applyBorder="1" applyAlignment="1">
      <alignment horizontal="center" vertical="center" wrapText="1"/>
    </xf>
    <xf numFmtId="0" fontId="41" fillId="11" borderId="23" xfId="0" applyFont="1" applyFill="1" applyBorder="1" applyAlignment="1">
      <alignment horizontal="center" vertical="center" wrapText="1"/>
    </xf>
    <xf numFmtId="0" fontId="41" fillId="11" borderId="18" xfId="0" applyFont="1" applyFill="1" applyBorder="1" applyAlignment="1">
      <alignment horizontal="center" vertical="center" wrapText="1"/>
    </xf>
    <xf numFmtId="0" fontId="41" fillId="11" borderId="24" xfId="0" applyFont="1" applyFill="1" applyBorder="1" applyAlignment="1">
      <alignment horizontal="center" vertical="center" wrapText="1"/>
    </xf>
    <xf numFmtId="0" fontId="42" fillId="11" borderId="42" xfId="0" applyFont="1" applyFill="1" applyBorder="1" applyAlignment="1">
      <alignment horizontal="center"/>
    </xf>
    <xf numFmtId="0" fontId="42" fillId="11" borderId="43" xfId="0" applyFont="1" applyFill="1" applyBorder="1" applyAlignment="1">
      <alignment horizontal="center"/>
    </xf>
    <xf numFmtId="0" fontId="42" fillId="11" borderId="44" xfId="0" applyFont="1" applyFill="1" applyBorder="1" applyAlignment="1">
      <alignment horizontal="center"/>
    </xf>
    <xf numFmtId="0" fontId="23" fillId="0" borderId="65" xfId="3" applyBorder="1" applyAlignment="1">
      <alignment horizontal="center"/>
    </xf>
    <xf numFmtId="0" fontId="25" fillId="0" borderId="65" xfId="3" applyFont="1" applyBorder="1" applyAlignment="1">
      <alignment horizontal="center"/>
    </xf>
    <xf numFmtId="0" fontId="1" fillId="10" borderId="5" xfId="0" applyFont="1" applyFill="1" applyBorder="1" applyAlignment="1">
      <alignment horizontal="center" vertical="center"/>
    </xf>
    <xf numFmtId="0" fontId="1" fillId="10" borderId="6" xfId="0" applyFont="1" applyFill="1" applyBorder="1" applyAlignment="1">
      <alignment horizontal="center" vertical="center"/>
    </xf>
    <xf numFmtId="0" fontId="76" fillId="8" borderId="1" xfId="0" applyFont="1" applyFill="1" applyBorder="1" applyAlignment="1">
      <alignment horizontal="center" vertical="center"/>
    </xf>
    <xf numFmtId="0" fontId="76" fillId="8" borderId="2" xfId="0" applyFont="1" applyFill="1" applyBorder="1" applyAlignment="1">
      <alignment horizontal="center" vertical="center"/>
    </xf>
    <xf numFmtId="0" fontId="76" fillId="8" borderId="3" xfId="0" applyFont="1" applyFill="1" applyBorder="1" applyAlignment="1">
      <alignment horizontal="center" vertical="center"/>
    </xf>
    <xf numFmtId="0" fontId="24" fillId="0" borderId="18" xfId="3" applyFont="1" applyBorder="1" applyAlignment="1">
      <alignment horizontal="center"/>
    </xf>
    <xf numFmtId="0" fontId="25" fillId="0" borderId="43" xfId="3" applyFont="1" applyBorder="1" applyAlignment="1">
      <alignment horizontal="center" vertical="center"/>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25" fillId="0" borderId="43" xfId="3" applyFont="1" applyBorder="1" applyAlignment="1">
      <alignment horizontal="center"/>
    </xf>
    <xf numFmtId="0" fontId="1" fillId="10" borderId="70" xfId="0" applyFont="1" applyFill="1" applyBorder="1" applyAlignment="1">
      <alignment horizontal="center" vertical="center"/>
    </xf>
    <xf numFmtId="0" fontId="1" fillId="10" borderId="44" xfId="0" applyFont="1" applyFill="1" applyBorder="1" applyAlignment="1">
      <alignment horizontal="center" vertical="center"/>
    </xf>
    <xf numFmtId="0" fontId="1" fillId="10" borderId="14" xfId="0" applyFont="1" applyFill="1" applyBorder="1" applyAlignment="1">
      <alignment horizontal="center" vertical="center"/>
    </xf>
    <xf numFmtId="0" fontId="1" fillId="10" borderId="47" xfId="0" applyFont="1" applyFill="1" applyBorder="1" applyAlignment="1">
      <alignment horizontal="center" vertical="center"/>
    </xf>
    <xf numFmtId="0" fontId="0" fillId="24" borderId="19" xfId="0"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61"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6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24" xfId="0" applyFont="1" applyFill="1" applyBorder="1" applyAlignment="1">
      <alignment horizontal="center" vertical="center"/>
    </xf>
    <xf numFmtId="0" fontId="6" fillId="23" borderId="75" xfId="0" applyFont="1" applyFill="1" applyBorder="1" applyAlignment="1">
      <alignment horizontal="center" vertical="center" wrapText="1"/>
    </xf>
    <xf numFmtId="0" fontId="6" fillId="23" borderId="76" xfId="0" applyFont="1" applyFill="1" applyBorder="1" applyAlignment="1">
      <alignment horizontal="center" vertical="center" wrapText="1"/>
    </xf>
    <xf numFmtId="0" fontId="6" fillId="23" borderId="77" xfId="0" applyFont="1" applyFill="1" applyBorder="1" applyAlignment="1">
      <alignment horizontal="center" vertical="center" wrapText="1"/>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4" fillId="4" borderId="22" xfId="0" applyFont="1" applyFill="1" applyBorder="1" applyAlignment="1">
      <alignment horizontal="center" vertical="center"/>
    </xf>
    <xf numFmtId="0" fontId="75" fillId="0" borderId="0" xfId="0" applyFont="1" applyAlignment="1">
      <alignment horizontal="center"/>
    </xf>
    <xf numFmtId="0" fontId="6" fillId="0" borderId="78" xfId="0" applyFont="1" applyBorder="1" applyAlignment="1">
      <alignment horizontal="center"/>
    </xf>
    <xf numFmtId="0" fontId="90" fillId="7" borderId="10" xfId="0" applyFont="1" applyFill="1" applyBorder="1" applyAlignment="1">
      <alignment horizontal="center" vertical="center"/>
    </xf>
    <xf numFmtId="0" fontId="90" fillId="7" borderId="11" xfId="0" applyFont="1" applyFill="1" applyBorder="1" applyAlignment="1">
      <alignment horizontal="center" vertical="center"/>
    </xf>
    <xf numFmtId="0" fontId="90" fillId="7" borderId="12" xfId="0" applyFont="1" applyFill="1" applyBorder="1" applyAlignment="1">
      <alignment horizontal="center" vertical="center"/>
    </xf>
    <xf numFmtId="0" fontId="87" fillId="22" borderId="1" xfId="0" applyFont="1" applyFill="1" applyBorder="1" applyAlignment="1">
      <alignment horizontal="center" vertical="center"/>
    </xf>
    <xf numFmtId="0" fontId="87" fillId="22" borderId="2" xfId="0" applyFont="1" applyFill="1" applyBorder="1" applyAlignment="1">
      <alignment horizontal="center" vertical="center"/>
    </xf>
    <xf numFmtId="0" fontId="87" fillId="22" borderId="3" xfId="0" applyFont="1" applyFill="1" applyBorder="1" applyAlignment="1">
      <alignment horizontal="center" vertical="center"/>
    </xf>
    <xf numFmtId="0" fontId="0" fillId="6" borderId="7" xfId="0" applyFill="1" applyBorder="1" applyAlignment="1">
      <alignment horizontal="center" vertical="center"/>
    </xf>
    <xf numFmtId="0" fontId="0" fillId="6" borderId="8" xfId="0" applyFill="1" applyBorder="1" applyAlignment="1">
      <alignment horizontal="center" vertical="center"/>
    </xf>
    <xf numFmtId="0" fontId="0" fillId="0" borderId="61" xfId="0" applyBorder="1" applyAlignment="1">
      <alignment horizontal="center"/>
    </xf>
    <xf numFmtId="0" fontId="86" fillId="0" borderId="10"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23" borderId="10" xfId="0" applyFont="1" applyFill="1" applyBorder="1" applyAlignment="1">
      <alignment horizontal="center" vertical="center"/>
    </xf>
    <xf numFmtId="0" fontId="7" fillId="23" borderId="11" xfId="0" applyFont="1" applyFill="1" applyBorder="1" applyAlignment="1">
      <alignment horizontal="center" vertical="center"/>
    </xf>
    <xf numFmtId="0" fontId="7" fillId="23" borderId="12" xfId="0" applyFont="1" applyFill="1" applyBorder="1" applyAlignment="1">
      <alignment horizontal="center" vertical="center"/>
    </xf>
    <xf numFmtId="0" fontId="3" fillId="10" borderId="10" xfId="1" applyFont="1" applyFill="1" applyBorder="1" applyAlignment="1">
      <alignment horizontal="center" vertical="center" wrapText="1"/>
    </xf>
    <xf numFmtId="0" fontId="3" fillId="10" borderId="11" xfId="1" applyFont="1" applyFill="1" applyBorder="1" applyAlignment="1">
      <alignment horizontal="center" vertical="center" wrapText="1"/>
    </xf>
    <xf numFmtId="0" fontId="3" fillId="10" borderId="12"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1" xfId="1" applyFont="1" applyFill="1" applyBorder="1" applyAlignment="1">
      <alignment horizontal="center" vertical="center" wrapText="1"/>
    </xf>
    <xf numFmtId="0" fontId="3" fillId="2" borderId="22" xfId="1" applyFont="1" applyFill="1" applyBorder="1" applyAlignment="1">
      <alignment horizontal="center" vertical="center" wrapText="1"/>
    </xf>
    <xf numFmtId="0" fontId="3" fillId="2" borderId="61" xfId="1" applyFont="1" applyFill="1" applyBorder="1" applyAlignment="1">
      <alignment horizontal="center" vertical="center" wrapText="1"/>
    </xf>
    <xf numFmtId="0" fontId="3" fillId="2" borderId="0" xfId="1" applyFont="1" applyFill="1" applyAlignment="1">
      <alignment horizontal="center" vertical="center" wrapText="1"/>
    </xf>
    <xf numFmtId="0" fontId="3" fillId="2" borderId="62" xfId="1" applyFont="1" applyFill="1" applyBorder="1" applyAlignment="1">
      <alignment horizontal="center" vertical="center" wrapText="1"/>
    </xf>
    <xf numFmtId="0" fontId="3" fillId="2" borderId="23"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24" xfId="1" applyFont="1" applyFill="1" applyBorder="1" applyAlignment="1">
      <alignment horizontal="center" vertical="center" wrapText="1"/>
    </xf>
    <xf numFmtId="0" fontId="14" fillId="11" borderId="67" xfId="1" applyFont="1" applyFill="1" applyBorder="1" applyAlignment="1">
      <alignment horizontal="center" vertical="center"/>
    </xf>
    <xf numFmtId="0" fontId="14" fillId="11" borderId="68" xfId="1" applyFont="1" applyFill="1" applyBorder="1" applyAlignment="1">
      <alignment horizontal="center" vertical="center"/>
    </xf>
    <xf numFmtId="0" fontId="14" fillId="11" borderId="69" xfId="1" applyFont="1" applyFill="1" applyBorder="1" applyAlignment="1">
      <alignment horizontal="center" vertical="center"/>
    </xf>
    <xf numFmtId="0" fontId="10" fillId="4" borderId="5" xfId="1" applyFill="1" applyBorder="1" applyAlignment="1">
      <alignment horizontal="center" vertical="center" wrapText="1"/>
    </xf>
    <xf numFmtId="0" fontId="10" fillId="2" borderId="14" xfId="1" applyFill="1" applyBorder="1" applyAlignment="1">
      <alignment horizontal="center" vertical="center"/>
    </xf>
    <xf numFmtId="0" fontId="10" fillId="2" borderId="63" xfId="1" applyFill="1" applyBorder="1" applyAlignment="1">
      <alignment horizontal="center" vertical="center"/>
    </xf>
    <xf numFmtId="0" fontId="10" fillId="4" borderId="5" xfId="1" applyFill="1" applyBorder="1" applyAlignment="1">
      <alignment horizontal="center" vertical="center"/>
    </xf>
    <xf numFmtId="0" fontId="10" fillId="4" borderId="6" xfId="1" applyFill="1" applyBorder="1" applyAlignment="1">
      <alignment horizontal="center" vertical="center"/>
    </xf>
    <xf numFmtId="1" fontId="10" fillId="0" borderId="8" xfId="1" applyNumberFormat="1" applyBorder="1" applyAlignment="1">
      <alignment horizontal="center" vertical="center"/>
    </xf>
    <xf numFmtId="1" fontId="10" fillId="0" borderId="9" xfId="1" applyNumberFormat="1" applyBorder="1" applyAlignment="1">
      <alignment horizontal="center" vertical="center"/>
    </xf>
    <xf numFmtId="1" fontId="10" fillId="0" borderId="14" xfId="1" applyNumberFormat="1" applyBorder="1" applyAlignment="1">
      <alignment horizontal="center" vertical="center"/>
    </xf>
    <xf numFmtId="1" fontId="10" fillId="0" borderId="47" xfId="1" applyNumberFormat="1" applyBorder="1" applyAlignment="1">
      <alignment horizontal="center" vertical="center"/>
    </xf>
    <xf numFmtId="0" fontId="14" fillId="3" borderId="67" xfId="1" applyFont="1" applyFill="1" applyBorder="1" applyAlignment="1">
      <alignment horizontal="center" vertical="center" wrapText="1"/>
    </xf>
    <xf numFmtId="0" fontId="14" fillId="3" borderId="68" xfId="1" applyFont="1" applyFill="1" applyBorder="1" applyAlignment="1">
      <alignment horizontal="center" vertical="center" wrapText="1"/>
    </xf>
    <xf numFmtId="0" fontId="14" fillId="3" borderId="69" xfId="1" applyFont="1" applyFill="1" applyBorder="1" applyAlignment="1">
      <alignment horizontal="center" vertical="center" wrapText="1"/>
    </xf>
    <xf numFmtId="0" fontId="58" fillId="21" borderId="0" xfId="4" applyFont="1" applyFill="1" applyAlignment="1" applyProtection="1">
      <alignment horizontal="left" vertical="center"/>
      <protection hidden="1"/>
    </xf>
    <xf numFmtId="0" fontId="69" fillId="11" borderId="0" xfId="4" applyFont="1" applyFill="1" applyAlignment="1">
      <alignment horizont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11" borderId="7" xfId="0" applyFont="1" applyFill="1" applyBorder="1" applyAlignment="1">
      <alignment horizontal="center" vertical="center" wrapText="1" readingOrder="2"/>
    </xf>
    <xf numFmtId="0" fontId="17" fillId="11" borderId="8" xfId="0" applyFont="1" applyFill="1" applyBorder="1" applyAlignment="1">
      <alignment horizontal="center" vertical="center" wrapText="1" readingOrder="2"/>
    </xf>
    <xf numFmtId="0" fontId="7" fillId="16" borderId="58" xfId="0" applyFont="1" applyFill="1" applyBorder="1" applyAlignment="1">
      <alignment horizontal="center" vertical="center"/>
    </xf>
    <xf numFmtId="0" fontId="7" fillId="16" borderId="59" xfId="0" applyFont="1" applyFill="1" applyBorder="1" applyAlignment="1">
      <alignment horizontal="center" vertical="center"/>
    </xf>
    <xf numFmtId="0" fontId="7" fillId="16" borderId="60" xfId="0" applyFont="1" applyFill="1" applyBorder="1" applyAlignment="1">
      <alignment horizontal="center" vertical="center"/>
    </xf>
    <xf numFmtId="0" fontId="5" fillId="16" borderId="48" xfId="0" applyFont="1" applyFill="1" applyBorder="1" applyAlignment="1">
      <alignment horizontal="center" vertical="center"/>
    </xf>
    <xf numFmtId="0" fontId="5" fillId="16" borderId="56" xfId="0" applyFont="1" applyFill="1" applyBorder="1" applyAlignment="1">
      <alignment horizontal="center" vertical="center"/>
    </xf>
    <xf numFmtId="0" fontId="5" fillId="16" borderId="57" xfId="0" applyFont="1" applyFill="1" applyBorder="1" applyAlignment="1">
      <alignment horizontal="center" vertical="center"/>
    </xf>
    <xf numFmtId="0" fontId="7" fillId="16" borderId="48" xfId="0" applyFont="1" applyFill="1" applyBorder="1" applyAlignment="1">
      <alignment horizontal="center" vertical="center"/>
    </xf>
    <xf numFmtId="0" fontId="7" fillId="16" borderId="56" xfId="0" applyFont="1" applyFill="1" applyBorder="1" applyAlignment="1">
      <alignment horizontal="center" vertical="center"/>
    </xf>
    <xf numFmtId="0" fontId="7" fillId="16" borderId="57" xfId="0" applyFont="1" applyFill="1" applyBorder="1" applyAlignment="1">
      <alignment horizontal="center" vertical="center"/>
    </xf>
    <xf numFmtId="0" fontId="18" fillId="11" borderId="31" xfId="0" applyFont="1" applyFill="1" applyBorder="1" applyAlignment="1">
      <alignment horizontal="center" vertical="center"/>
    </xf>
    <xf numFmtId="0" fontId="18" fillId="11" borderId="32" xfId="0" applyFont="1" applyFill="1" applyBorder="1" applyAlignment="1">
      <alignment horizontal="center" vertical="center"/>
    </xf>
    <xf numFmtId="0" fontId="18" fillId="11" borderId="33" xfId="0" applyFont="1" applyFill="1" applyBorder="1" applyAlignment="1">
      <alignment horizontal="center" vertical="center"/>
    </xf>
    <xf numFmtId="0" fontId="3" fillId="10" borderId="19" xfId="0" applyFont="1" applyFill="1" applyBorder="1" applyAlignment="1">
      <alignment horizontal="center" vertical="center"/>
    </xf>
    <xf numFmtId="0" fontId="1" fillId="10" borderId="19" xfId="0" applyFont="1" applyFill="1" applyBorder="1" applyAlignment="1">
      <alignment horizontal="center" vertical="center"/>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3" xfId="0" applyFont="1" applyBorder="1" applyAlignment="1">
      <alignment horizontal="center" vertical="center" wrapText="1"/>
    </xf>
    <xf numFmtId="1" fontId="0" fillId="0" borderId="56" xfId="0" applyNumberFormat="1" applyBorder="1" applyAlignment="1">
      <alignment horizontal="center" vertical="center"/>
    </xf>
    <xf numFmtId="1" fontId="0" fillId="0" borderId="41" xfId="0" applyNumberFormat="1" applyBorder="1" applyAlignment="1">
      <alignment horizontal="center" vertical="center"/>
    </xf>
    <xf numFmtId="1" fontId="0" fillId="0" borderId="54" xfId="0" applyNumberFormat="1" applyBorder="1" applyAlignment="1">
      <alignment horizontal="center" vertical="center"/>
    </xf>
    <xf numFmtId="0" fontId="1" fillId="0" borderId="57" xfId="0" applyFont="1" applyBorder="1" applyAlignment="1">
      <alignment horizontal="center" vertical="center"/>
    </xf>
    <xf numFmtId="0" fontId="1" fillId="0" borderId="52" xfId="0" applyFont="1" applyBorder="1" applyAlignment="1">
      <alignment horizontal="center" vertical="center"/>
    </xf>
    <xf numFmtId="0" fontId="1" fillId="0" borderId="55" xfId="0" applyFont="1" applyBorder="1" applyAlignment="1">
      <alignment horizontal="center" vertical="center"/>
    </xf>
    <xf numFmtId="0" fontId="50" fillId="4" borderId="2" xfId="0" applyFont="1" applyFill="1" applyBorder="1" applyAlignment="1">
      <alignment horizontal="center" vertical="center"/>
    </xf>
    <xf numFmtId="0" fontId="50" fillId="4" borderId="3"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2" fillId="17" borderId="1" xfId="1" applyFont="1" applyFill="1" applyBorder="1" applyAlignment="1">
      <alignment horizontal="center" vertical="center"/>
    </xf>
    <xf numFmtId="0" fontId="52" fillId="17" borderId="2" xfId="1" applyFont="1" applyFill="1" applyBorder="1" applyAlignment="1">
      <alignment horizontal="center" vertical="center"/>
    </xf>
    <xf numFmtId="0" fontId="52" fillId="17" borderId="3" xfId="1" applyFont="1" applyFill="1" applyBorder="1" applyAlignment="1">
      <alignment horizontal="center" vertical="center"/>
    </xf>
    <xf numFmtId="0" fontId="52" fillId="17" borderId="10" xfId="1" applyFont="1" applyFill="1" applyBorder="1" applyAlignment="1">
      <alignment horizontal="center" vertical="center" wrapText="1"/>
    </xf>
    <xf numFmtId="0" fontId="52" fillId="17" borderId="11" xfId="1" applyFont="1" applyFill="1" applyBorder="1" applyAlignment="1">
      <alignment horizontal="center" vertical="center"/>
    </xf>
    <xf numFmtId="0" fontId="52" fillId="17" borderId="12" xfId="1" applyFont="1" applyFill="1" applyBorder="1" applyAlignment="1">
      <alignment horizontal="center" vertical="center"/>
    </xf>
    <xf numFmtId="0" fontId="52" fillId="17" borderId="4" xfId="1" applyFont="1" applyFill="1" applyBorder="1" applyAlignment="1">
      <alignment horizontal="center" vertical="center"/>
    </xf>
    <xf numFmtId="0" fontId="52" fillId="17" borderId="5" xfId="1" applyFont="1" applyFill="1" applyBorder="1" applyAlignment="1">
      <alignment horizontal="center" vertical="center"/>
    </xf>
    <xf numFmtId="0" fontId="51" fillId="2" borderId="20" xfId="1" applyFont="1" applyFill="1" applyBorder="1" applyAlignment="1">
      <alignment horizontal="center" vertical="center" wrapText="1"/>
    </xf>
    <xf numFmtId="0" fontId="51" fillId="2" borderId="21" xfId="1" applyFont="1" applyFill="1" applyBorder="1" applyAlignment="1">
      <alignment horizontal="center" vertical="center" wrapText="1"/>
    </xf>
    <xf numFmtId="0" fontId="51" fillId="2" borderId="22" xfId="1" applyFont="1" applyFill="1" applyBorder="1" applyAlignment="1">
      <alignment horizontal="center" vertical="center" wrapText="1"/>
    </xf>
    <xf numFmtId="0" fontId="51" fillId="2" borderId="61" xfId="1" applyFont="1" applyFill="1" applyBorder="1" applyAlignment="1">
      <alignment horizontal="center" vertical="center" wrapText="1"/>
    </xf>
    <xf numFmtId="0" fontId="51" fillId="2" borderId="0" xfId="1" applyFont="1" applyFill="1" applyAlignment="1">
      <alignment horizontal="center" vertical="center" wrapText="1"/>
    </xf>
    <xf numFmtId="0" fontId="51" fillId="2" borderId="62" xfId="1" applyFont="1" applyFill="1" applyBorder="1" applyAlignment="1">
      <alignment horizontal="center" vertical="center" wrapText="1"/>
    </xf>
    <xf numFmtId="0" fontId="51" fillId="2" borderId="23" xfId="1" applyFont="1" applyFill="1" applyBorder="1" applyAlignment="1">
      <alignment horizontal="center" vertical="center" wrapText="1"/>
    </xf>
    <xf numFmtId="0" fontId="51" fillId="2" borderId="18" xfId="1" applyFont="1" applyFill="1" applyBorder="1" applyAlignment="1">
      <alignment horizontal="center" vertical="center" wrapText="1"/>
    </xf>
    <xf numFmtId="0" fontId="51" fillId="2" borderId="24" xfId="1" applyFont="1" applyFill="1" applyBorder="1" applyAlignment="1">
      <alignment horizontal="center" vertical="center" wrapText="1"/>
    </xf>
    <xf numFmtId="0" fontId="52" fillId="17" borderId="7" xfId="1" applyFont="1" applyFill="1" applyBorder="1" applyAlignment="1">
      <alignment horizontal="center" vertical="center"/>
    </xf>
    <xf numFmtId="0" fontId="52" fillId="17" borderId="8" xfId="1" applyFont="1" applyFill="1" applyBorder="1" applyAlignment="1">
      <alignment horizontal="center" vertical="center"/>
    </xf>
    <xf numFmtId="0" fontId="52" fillId="17" borderId="4" xfId="1" applyFont="1" applyFill="1" applyBorder="1" applyAlignment="1">
      <alignment horizontal="center" vertical="center" wrapText="1"/>
    </xf>
    <xf numFmtId="0" fontId="51" fillId="4" borderId="20" xfId="1" applyFont="1" applyFill="1" applyBorder="1" applyAlignment="1">
      <alignment horizontal="center" vertical="center" wrapText="1"/>
    </xf>
    <xf numFmtId="0" fontId="51" fillId="4" borderId="21" xfId="1" applyFont="1" applyFill="1" applyBorder="1" applyAlignment="1">
      <alignment horizontal="center" vertical="center" wrapText="1"/>
    </xf>
    <xf numFmtId="0" fontId="51" fillId="4" borderId="22" xfId="1" applyFont="1" applyFill="1" applyBorder="1" applyAlignment="1">
      <alignment horizontal="center" vertical="center" wrapText="1"/>
    </xf>
    <xf numFmtId="0" fontId="51" fillId="4" borderId="61" xfId="1" applyFont="1" applyFill="1" applyBorder="1" applyAlignment="1">
      <alignment horizontal="center" vertical="center" wrapText="1"/>
    </xf>
    <xf numFmtId="0" fontId="51" fillId="4" borderId="0" xfId="1" applyFont="1" applyFill="1" applyAlignment="1">
      <alignment horizontal="center" vertical="center" wrapText="1"/>
    </xf>
    <xf numFmtId="0" fontId="51" fillId="4" borderId="62" xfId="1" applyFont="1" applyFill="1" applyBorder="1" applyAlignment="1">
      <alignment horizontal="center" vertical="center" wrapText="1"/>
    </xf>
    <xf numFmtId="0" fontId="51" fillId="4" borderId="23" xfId="1" applyFont="1" applyFill="1" applyBorder="1" applyAlignment="1">
      <alignment horizontal="center" vertical="center" wrapText="1"/>
    </xf>
    <xf numFmtId="0" fontId="51" fillId="4" borderId="18" xfId="1" applyFont="1" applyFill="1" applyBorder="1" applyAlignment="1">
      <alignment horizontal="center" vertical="center" wrapText="1"/>
    </xf>
    <xf numFmtId="0" fontId="51" fillId="4" borderId="24" xfId="1" applyFont="1" applyFill="1" applyBorder="1" applyAlignment="1">
      <alignment horizontal="center" vertical="center" wrapText="1"/>
    </xf>
    <xf numFmtId="0" fontId="52" fillId="17" borderId="7" xfId="1" applyFont="1" applyFill="1" applyBorder="1" applyAlignment="1">
      <alignment horizontal="center" vertical="center" wrapText="1"/>
    </xf>
    <xf numFmtId="0" fontId="52" fillId="17" borderId="1" xfId="1" applyFont="1" applyFill="1" applyBorder="1" applyAlignment="1">
      <alignment horizontal="center" vertical="center" wrapText="1"/>
    </xf>
    <xf numFmtId="0" fontId="52" fillId="18" borderId="20" xfId="1" applyFont="1" applyFill="1" applyBorder="1" applyAlignment="1">
      <alignment horizontal="center" vertical="center" wrapText="1"/>
    </xf>
    <xf numFmtId="0" fontId="52" fillId="18" borderId="21" xfId="1" applyFont="1" applyFill="1" applyBorder="1" applyAlignment="1">
      <alignment horizontal="center" vertical="center" wrapText="1"/>
    </xf>
    <xf numFmtId="0" fontId="52" fillId="18" borderId="22" xfId="1" applyFont="1" applyFill="1" applyBorder="1" applyAlignment="1">
      <alignment horizontal="center" vertical="center" wrapText="1"/>
    </xf>
    <xf numFmtId="0" fontId="52" fillId="18" borderId="61" xfId="1" applyFont="1" applyFill="1" applyBorder="1" applyAlignment="1">
      <alignment horizontal="center" vertical="center" wrapText="1"/>
    </xf>
    <xf numFmtId="0" fontId="52" fillId="18" borderId="0" xfId="1" applyFont="1" applyFill="1" applyAlignment="1">
      <alignment horizontal="center" vertical="center" wrapText="1"/>
    </xf>
    <xf numFmtId="0" fontId="52" fillId="18" borderId="62" xfId="1" applyFont="1" applyFill="1" applyBorder="1" applyAlignment="1">
      <alignment horizontal="center" vertical="center" wrapText="1"/>
    </xf>
    <xf numFmtId="0" fontId="52" fillId="18" borderId="23" xfId="1" applyFont="1" applyFill="1" applyBorder="1" applyAlignment="1">
      <alignment horizontal="center" vertical="center" wrapText="1"/>
    </xf>
    <xf numFmtId="0" fontId="52" fillId="18" borderId="18" xfId="1" applyFont="1" applyFill="1" applyBorder="1" applyAlignment="1">
      <alignment horizontal="center" vertical="center" wrapText="1"/>
    </xf>
    <xf numFmtId="0" fontId="52" fillId="18" borderId="24" xfId="1" applyFont="1" applyFill="1" applyBorder="1" applyAlignment="1">
      <alignment horizontal="center" vertical="center" wrapText="1"/>
    </xf>
    <xf numFmtId="0" fontId="52" fillId="17" borderId="20" xfId="1" applyFont="1" applyFill="1" applyBorder="1" applyAlignment="1">
      <alignment horizontal="center" vertical="center"/>
    </xf>
    <xf numFmtId="0" fontId="52" fillId="17" borderId="21" xfId="1" applyFont="1" applyFill="1" applyBorder="1" applyAlignment="1">
      <alignment horizontal="center" vertical="center"/>
    </xf>
    <xf numFmtId="0" fontId="52" fillId="17" borderId="22" xfId="1" applyFont="1" applyFill="1" applyBorder="1" applyAlignment="1">
      <alignment horizontal="center" vertical="center"/>
    </xf>
    <xf numFmtId="0" fontId="52" fillId="17" borderId="61" xfId="1" applyFont="1" applyFill="1" applyBorder="1" applyAlignment="1">
      <alignment horizontal="center" vertical="center"/>
    </xf>
    <xf numFmtId="0" fontId="52" fillId="17" borderId="0" xfId="1" applyFont="1" applyFill="1" applyAlignment="1">
      <alignment horizontal="center" vertical="center"/>
    </xf>
    <xf numFmtId="0" fontId="52" fillId="17" borderId="62" xfId="1" applyFont="1" applyFill="1" applyBorder="1" applyAlignment="1">
      <alignment horizontal="center" vertical="center"/>
    </xf>
    <xf numFmtId="0" fontId="52" fillId="17" borderId="23" xfId="1" applyFont="1" applyFill="1" applyBorder="1" applyAlignment="1">
      <alignment horizontal="center" vertical="center"/>
    </xf>
    <xf numFmtId="0" fontId="52" fillId="17" borderId="18" xfId="1" applyFont="1" applyFill="1" applyBorder="1" applyAlignment="1">
      <alignment horizontal="center" vertical="center"/>
    </xf>
    <xf numFmtId="0" fontId="52" fillId="17" borderId="24" xfId="1" applyFont="1" applyFill="1" applyBorder="1" applyAlignment="1">
      <alignment horizontal="center" vertical="center"/>
    </xf>
    <xf numFmtId="0" fontId="52" fillId="17" borderId="2" xfId="1" applyFont="1" applyFill="1" applyBorder="1" applyAlignment="1">
      <alignment horizontal="center" vertical="center" wrapText="1"/>
    </xf>
    <xf numFmtId="0" fontId="52" fillId="17" borderId="5" xfId="1" applyFont="1" applyFill="1" applyBorder="1" applyAlignment="1">
      <alignment horizontal="center" vertical="center" wrapText="1"/>
    </xf>
    <xf numFmtId="0" fontId="52" fillId="17" borderId="8" xfId="1" applyFont="1" applyFill="1" applyBorder="1" applyAlignment="1">
      <alignment horizontal="center" vertical="center" wrapText="1"/>
    </xf>
    <xf numFmtId="0" fontId="52" fillId="17" borderId="14" xfId="1" applyFont="1" applyFill="1" applyBorder="1" applyAlignment="1">
      <alignment horizontal="center" vertical="center"/>
    </xf>
    <xf numFmtId="0" fontId="52" fillId="17" borderId="63" xfId="1" applyFont="1" applyFill="1" applyBorder="1" applyAlignment="1">
      <alignment horizontal="center" vertical="center"/>
    </xf>
    <xf numFmtId="0" fontId="52" fillId="17" borderId="48" xfId="1" applyFont="1" applyFill="1" applyBorder="1" applyAlignment="1">
      <alignment horizontal="center" vertical="center" wrapText="1"/>
    </xf>
    <xf numFmtId="0" fontId="52" fillId="17" borderId="56" xfId="1" applyFont="1" applyFill="1" applyBorder="1" applyAlignment="1">
      <alignment horizontal="center" vertical="center" wrapText="1"/>
    </xf>
    <xf numFmtId="0" fontId="52" fillId="17" borderId="53" xfId="1" applyFont="1" applyFill="1" applyBorder="1" applyAlignment="1">
      <alignment horizontal="center" vertical="center" wrapText="1"/>
    </xf>
    <xf numFmtId="0" fontId="52" fillId="17" borderId="54" xfId="1" applyFont="1" applyFill="1" applyBorder="1" applyAlignment="1">
      <alignment horizontal="center" vertical="center" wrapText="1"/>
    </xf>
    <xf numFmtId="0" fontId="51" fillId="2" borderId="57" xfId="1" applyFont="1" applyFill="1" applyBorder="1" applyAlignment="1">
      <alignment horizontal="center" vertical="center"/>
    </xf>
    <xf numFmtId="0" fontId="51" fillId="2" borderId="55" xfId="1" applyFont="1" applyFill="1" applyBorder="1" applyAlignment="1">
      <alignment horizontal="center" vertical="center"/>
    </xf>
    <xf numFmtId="0" fontId="52" fillId="17" borderId="48" xfId="1" applyFont="1" applyFill="1" applyBorder="1" applyAlignment="1">
      <alignment horizontal="center" vertical="center"/>
    </xf>
    <xf numFmtId="0" fontId="52" fillId="17" borderId="49" xfId="1" applyFont="1" applyFill="1" applyBorder="1" applyAlignment="1">
      <alignment horizontal="center" vertical="center"/>
    </xf>
    <xf numFmtId="0" fontId="52" fillId="17" borderId="53" xfId="1" applyFont="1" applyFill="1" applyBorder="1" applyAlignment="1">
      <alignment horizontal="center" vertical="center"/>
    </xf>
    <xf numFmtId="0" fontId="52" fillId="17" borderId="41" xfId="1" applyFont="1" applyFill="1" applyBorder="1" applyAlignment="1">
      <alignment horizontal="center" vertical="center"/>
    </xf>
    <xf numFmtId="0" fontId="52" fillId="17" borderId="54" xfId="1" applyFont="1" applyFill="1" applyBorder="1" applyAlignment="1">
      <alignment horizontal="center" vertical="center"/>
    </xf>
    <xf numFmtId="0" fontId="52" fillId="17" borderId="64" xfId="1" applyFont="1" applyFill="1" applyBorder="1" applyAlignment="1">
      <alignment horizontal="center" vertical="center"/>
    </xf>
    <xf numFmtId="0" fontId="52" fillId="17" borderId="15" xfId="1" applyFont="1" applyFill="1" applyBorder="1" applyAlignment="1">
      <alignment horizontal="center" vertical="center"/>
    </xf>
    <xf numFmtId="0" fontId="7" fillId="11" borderId="1" xfId="0" applyFont="1" applyFill="1" applyBorder="1" applyAlignment="1">
      <alignment horizontal="center" vertical="center" wrapText="1"/>
    </xf>
    <xf numFmtId="0" fontId="7" fillId="11" borderId="2" xfId="0" applyFont="1" applyFill="1" applyBorder="1" applyAlignment="1">
      <alignment horizontal="center" vertical="center" wrapText="1"/>
    </xf>
    <xf numFmtId="0" fontId="7" fillId="11" borderId="3" xfId="0" applyFont="1" applyFill="1" applyBorder="1" applyAlignment="1">
      <alignment horizontal="center" vertical="center" wrapText="1"/>
    </xf>
    <xf numFmtId="0" fontId="96" fillId="4" borderId="10" xfId="0" applyFont="1" applyFill="1" applyBorder="1" applyAlignment="1">
      <alignment horizontal="center" vertical="center"/>
    </xf>
    <xf numFmtId="0" fontId="96" fillId="4" borderId="11" xfId="0" applyFont="1" applyFill="1" applyBorder="1" applyAlignment="1">
      <alignment horizontal="center" vertical="center"/>
    </xf>
    <xf numFmtId="0" fontId="96" fillId="4" borderId="12" xfId="0" applyFont="1" applyFill="1" applyBorder="1" applyAlignment="1">
      <alignment horizontal="center" vertical="center"/>
    </xf>
  </cellXfs>
  <cellStyles count="5">
    <cellStyle name="Hyperlink" xfId="2" builtinId="8"/>
    <cellStyle name="Normal" xfId="0" builtinId="0"/>
    <cellStyle name="Normal 2" xfId="1" xr:uid="{00000000-0005-0000-0000-000002000000}"/>
    <cellStyle name="Normal 3" xfId="3" xr:uid="{00000000-0005-0000-0000-000003000000}"/>
    <cellStyle name="Normal 4" xfId="4" xr:uid="{7F2FF409-5D88-41EF-B92E-CA144C449688}"/>
  </cellStyles>
  <dxfs count="0"/>
  <tableStyles count="0" defaultTableStyle="TableStyleMedium2" defaultPivotStyle="PivotStyleMedium9"/>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chemeClr val="accent2"/>
                </a:solidFill>
                <a:latin typeface="+mn-lt"/>
                <a:ea typeface="+mn-ea"/>
                <a:cs typeface="+mn-cs"/>
              </a:defRPr>
            </a:pPr>
            <a:r>
              <a:rPr lang="en-US" sz="1800" b="1">
                <a:solidFill>
                  <a:schemeClr val="accent2"/>
                </a:solidFill>
              </a:rPr>
              <a:t>System</a:t>
            </a:r>
            <a:r>
              <a:rPr lang="en-US" sz="1800" b="1" baseline="0">
                <a:solidFill>
                  <a:schemeClr val="accent2"/>
                </a:solidFill>
              </a:rPr>
              <a:t> curve - </a:t>
            </a:r>
            <a:r>
              <a:rPr lang="ar-SY" sz="1800" b="1" baseline="0">
                <a:solidFill>
                  <a:schemeClr val="accent2"/>
                </a:solidFill>
              </a:rPr>
              <a:t>منحني النظام </a:t>
            </a:r>
            <a:r>
              <a:rPr lang="en-US" sz="1800" b="1" baseline="0">
                <a:solidFill>
                  <a:schemeClr val="accent2"/>
                </a:solidFill>
              </a:rPr>
              <a:t> </a:t>
            </a:r>
            <a:endParaRPr lang="en-US" sz="1800" b="1">
              <a:solidFill>
                <a:schemeClr val="accent2"/>
              </a:solidFill>
            </a:endParaRPr>
          </a:p>
        </c:rich>
      </c:tx>
      <c:overlay val="0"/>
      <c:spPr>
        <a:noFill/>
        <a:ln>
          <a:solidFill>
            <a:schemeClr val="accent1"/>
          </a:solidFill>
        </a:ln>
        <a:effectLst/>
      </c:spPr>
      <c:txPr>
        <a:bodyPr rot="0" spcFirstLastPara="1" vertOverflow="ellipsis" vert="horz" wrap="square" anchor="ctr" anchorCtr="1"/>
        <a:lstStyle/>
        <a:p>
          <a:pPr>
            <a:defRPr sz="1800" b="1" i="0" u="none" strike="noStrike" kern="1200" spc="0" baseline="0">
              <a:solidFill>
                <a:schemeClr val="accent2"/>
              </a:solidFill>
              <a:latin typeface="+mn-lt"/>
              <a:ea typeface="+mn-ea"/>
              <a:cs typeface="+mn-cs"/>
            </a:defRPr>
          </a:pPr>
          <a:endParaRPr lang="en-US"/>
        </a:p>
      </c:txPr>
    </c:title>
    <c:autoTitleDeleted val="0"/>
    <c:plotArea>
      <c:layout>
        <c:manualLayout>
          <c:layoutTarget val="inner"/>
          <c:xMode val="edge"/>
          <c:yMode val="edge"/>
          <c:x val="0.11772409697769647"/>
          <c:y val="8.8819349217148111E-2"/>
          <c:w val="0.84262357165631474"/>
          <c:h val="0.76098958044703735"/>
        </c:manualLayout>
      </c:layout>
      <c:scatterChart>
        <c:scatterStyle val="smoothMarker"/>
        <c:varyColors val="0"/>
        <c:ser>
          <c:idx val="0"/>
          <c:order val="0"/>
          <c:tx>
            <c:strRef>
              <c:f>'نقطة العمل'!$F$4</c:f>
              <c:strCache>
                <c:ptCount val="1"/>
                <c:pt idx="0">
                  <c:v>H sys</c:v>
                </c:pt>
              </c:strCache>
            </c:strRef>
          </c:tx>
          <c:spPr>
            <a:ln w="19050" cap="rnd">
              <a:solidFill>
                <a:srgbClr val="C00000"/>
              </a:solidFill>
              <a:round/>
            </a:ln>
            <a:effectLst/>
          </c:spPr>
          <c:marker>
            <c:symbol val="circle"/>
            <c:size val="5"/>
            <c:spPr>
              <a:solidFill>
                <a:srgbClr val="C00000"/>
              </a:solidFill>
              <a:ln w="9525">
                <a:solidFill>
                  <a:srgbClr val="C00000"/>
                </a:solidFill>
              </a:ln>
              <a:effectLst/>
            </c:spPr>
          </c:marker>
          <c:xVal>
            <c:numRef>
              <c:f>'نقطة العمل'!$G$2:$Q$2</c:f>
              <c:numCache>
                <c:formatCode>General</c:formatCode>
                <c:ptCount val="11"/>
                <c:pt idx="0">
                  <c:v>50</c:v>
                </c:pt>
                <c:pt idx="1">
                  <c:v>45</c:v>
                </c:pt>
                <c:pt idx="2">
                  <c:v>40</c:v>
                </c:pt>
                <c:pt idx="3">
                  <c:v>35</c:v>
                </c:pt>
                <c:pt idx="4">
                  <c:v>30</c:v>
                </c:pt>
                <c:pt idx="5">
                  <c:v>25</c:v>
                </c:pt>
                <c:pt idx="6">
                  <c:v>20</c:v>
                </c:pt>
                <c:pt idx="7">
                  <c:v>15</c:v>
                </c:pt>
                <c:pt idx="8">
                  <c:v>10</c:v>
                </c:pt>
                <c:pt idx="9">
                  <c:v>5</c:v>
                </c:pt>
                <c:pt idx="10">
                  <c:v>0</c:v>
                </c:pt>
              </c:numCache>
            </c:numRef>
          </c:xVal>
          <c:yVal>
            <c:numRef>
              <c:f>'نقطة العمل'!$G$4:$Q$4</c:f>
              <c:numCache>
                <c:formatCode>#,##0.0</c:formatCode>
                <c:ptCount val="11"/>
                <c:pt idx="0">
                  <c:v>38.168463060964385</c:v>
                </c:pt>
                <c:pt idx="1">
                  <c:v>36.720436423126053</c:v>
                </c:pt>
                <c:pt idx="2">
                  <c:v>35.403348825948292</c:v>
                </c:pt>
                <c:pt idx="3">
                  <c:v>34.219509019409202</c:v>
                </c:pt>
                <c:pt idx="4">
                  <c:v>33.171585803034951</c:v>
                </c:pt>
                <c:pt idx="5">
                  <c:v>32.262730325972072</c:v>
                </c:pt>
                <c:pt idx="6">
                  <c:v>31.49677132148717</c:v>
                </c:pt>
                <c:pt idx="7">
                  <c:v>30.878554915947973</c:v>
                </c:pt>
                <c:pt idx="8">
                  <c:v>30.414617760391078</c:v>
                </c:pt>
                <c:pt idx="9">
                  <c:v>30.114852472628158</c:v>
                </c:pt>
                <c:pt idx="10">
                  <c:v>30</c:v>
                </c:pt>
              </c:numCache>
            </c:numRef>
          </c:yVal>
          <c:smooth val="1"/>
          <c:extLst>
            <c:ext xmlns:c16="http://schemas.microsoft.com/office/drawing/2014/chart" uri="{C3380CC4-5D6E-409C-BE32-E72D297353CC}">
              <c16:uniqueId val="{00000000-3B58-4C57-B810-15BE1B342BE8}"/>
            </c:ext>
          </c:extLst>
        </c:ser>
        <c:dLbls>
          <c:showLegendKey val="0"/>
          <c:showVal val="0"/>
          <c:showCatName val="0"/>
          <c:showSerName val="0"/>
          <c:showPercent val="0"/>
          <c:showBubbleSize val="0"/>
        </c:dLbls>
        <c:axId val="1103246447"/>
        <c:axId val="907828431"/>
      </c:scatterChart>
      <c:valAx>
        <c:axId val="1103246447"/>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1" i="0" u="none" strike="noStrike" kern="1200" baseline="0">
                    <a:solidFill>
                      <a:srgbClr val="00B050"/>
                    </a:solidFill>
                    <a:latin typeface="+mn-lt"/>
                    <a:ea typeface="+mn-ea"/>
                    <a:cs typeface="+mn-cs"/>
                  </a:defRPr>
                </a:pPr>
                <a:r>
                  <a:rPr lang="en-US" sz="1400" b="1">
                    <a:solidFill>
                      <a:srgbClr val="00B050"/>
                    </a:solidFill>
                  </a:rPr>
                  <a:t>Q m3/hr</a:t>
                </a:r>
                <a:r>
                  <a:rPr lang="en-US" sz="1400" b="1" baseline="0">
                    <a:solidFill>
                      <a:srgbClr val="00B050"/>
                    </a:solidFill>
                  </a:rPr>
                  <a:t> </a:t>
                </a:r>
                <a:endParaRPr lang="en-US" sz="1400" b="1">
                  <a:solidFill>
                    <a:srgbClr val="00B050"/>
                  </a:solidFill>
                </a:endParaRPr>
              </a:p>
            </c:rich>
          </c:tx>
          <c:overlay val="0"/>
          <c:spPr>
            <a:noFill/>
            <a:ln>
              <a:noFill/>
            </a:ln>
            <a:effectLst/>
          </c:spPr>
          <c:txPr>
            <a:bodyPr rot="0" spcFirstLastPara="1" vertOverflow="ellipsis" vert="horz" wrap="square" anchor="ctr" anchorCtr="1"/>
            <a:lstStyle/>
            <a:p>
              <a:pPr>
                <a:defRPr sz="1400" b="1" i="0" u="none" strike="noStrike" kern="1200" baseline="0">
                  <a:solidFill>
                    <a:srgbClr val="00B05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7828431"/>
        <c:crosses val="autoZero"/>
        <c:crossBetween val="midCat"/>
      </c:valAx>
      <c:valAx>
        <c:axId val="90782843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kern="1200" baseline="0">
                    <a:solidFill>
                      <a:srgbClr val="00B050"/>
                    </a:solidFill>
                    <a:latin typeface="+mn-lt"/>
                    <a:ea typeface="+mn-ea"/>
                    <a:cs typeface="+mn-cs"/>
                  </a:defRPr>
                </a:pPr>
                <a:r>
                  <a:rPr lang="en-US" sz="1400" b="1">
                    <a:solidFill>
                      <a:srgbClr val="00B050"/>
                    </a:solidFill>
                  </a:rPr>
                  <a:t>H mH2O</a:t>
                </a:r>
              </a:p>
            </c:rich>
          </c:tx>
          <c:layout>
            <c:manualLayout>
              <c:xMode val="edge"/>
              <c:yMode val="edge"/>
              <c:x val="2.9703811295432713E-3"/>
              <c:y val="0.35180032719509335"/>
            </c:manualLayout>
          </c:layout>
          <c:overlay val="0"/>
          <c:spPr>
            <a:noFill/>
            <a:ln>
              <a:noFill/>
            </a:ln>
            <a:effectLst/>
          </c:spPr>
          <c:txPr>
            <a:bodyPr rot="-5400000" spcFirstLastPara="1" vertOverflow="ellipsis" vert="horz" wrap="square" anchor="ctr" anchorCtr="1"/>
            <a:lstStyle/>
            <a:p>
              <a:pPr>
                <a:defRPr sz="1400" b="0" i="0" u="none" strike="noStrike" kern="1200" baseline="0">
                  <a:solidFill>
                    <a:srgbClr val="00B05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324644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2225"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accent2"/>
                </a:solidFill>
                <a:latin typeface="+mn-lt"/>
                <a:ea typeface="+mn-ea"/>
                <a:cs typeface="+mn-cs"/>
              </a:defRPr>
            </a:pPr>
            <a:r>
              <a:rPr lang="en-US" sz="1600" b="1">
                <a:solidFill>
                  <a:schemeClr val="accent2"/>
                </a:solidFill>
              </a:rPr>
              <a:t>Duty Point - </a:t>
            </a:r>
            <a:r>
              <a:rPr lang="ar-SY" sz="1600" b="1">
                <a:solidFill>
                  <a:schemeClr val="accent2"/>
                </a:solidFill>
              </a:rPr>
              <a:t>نقطة العمل للمضخة</a:t>
            </a:r>
            <a:endParaRPr lang="en-US" sz="1600" b="1">
              <a:solidFill>
                <a:schemeClr val="accent2"/>
              </a:solidFill>
            </a:endParaRPr>
          </a:p>
        </c:rich>
      </c:tx>
      <c:layout>
        <c:manualLayout>
          <c:xMode val="edge"/>
          <c:yMode val="edge"/>
          <c:x val="0.29757151799916909"/>
          <c:y val="2.735403916550997E-2"/>
        </c:manualLayout>
      </c:layout>
      <c:overlay val="0"/>
      <c:spPr>
        <a:noFill/>
        <a:ln>
          <a:solidFill>
            <a:schemeClr val="accent1"/>
          </a:solidFill>
        </a:ln>
        <a:effectLst/>
      </c:spPr>
      <c:txPr>
        <a:bodyPr rot="0" spcFirstLastPara="1" vertOverflow="ellipsis" vert="horz" wrap="square" anchor="ctr" anchorCtr="1"/>
        <a:lstStyle/>
        <a:p>
          <a:pPr>
            <a:defRPr sz="1600" b="1" i="0" u="none" strike="noStrike" kern="1200" spc="0" baseline="0">
              <a:solidFill>
                <a:schemeClr val="accent2"/>
              </a:solidFill>
              <a:latin typeface="+mn-lt"/>
              <a:ea typeface="+mn-ea"/>
              <a:cs typeface="+mn-cs"/>
            </a:defRPr>
          </a:pPr>
          <a:endParaRPr lang="en-US"/>
        </a:p>
      </c:txPr>
    </c:title>
    <c:autoTitleDeleted val="0"/>
    <c:plotArea>
      <c:layout>
        <c:manualLayout>
          <c:layoutTarget val="inner"/>
          <c:xMode val="edge"/>
          <c:yMode val="edge"/>
          <c:x val="3.9787276239725576E-2"/>
          <c:y val="1.7656627505440028E-2"/>
          <c:w val="0.87790287287109781"/>
          <c:h val="0.6978479347865072"/>
        </c:manualLayout>
      </c:layout>
      <c:scatterChart>
        <c:scatterStyle val="smoothMarker"/>
        <c:varyColors val="0"/>
        <c:ser>
          <c:idx val="0"/>
          <c:order val="0"/>
          <c:tx>
            <c:strRef>
              <c:f>'نقطة العمل'!$F$3</c:f>
              <c:strCache>
                <c:ptCount val="1"/>
                <c:pt idx="0">
                  <c:v>H pump</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'نقطة العمل'!$G$2:$Q$2</c:f>
              <c:numCache>
                <c:formatCode>General</c:formatCode>
                <c:ptCount val="11"/>
                <c:pt idx="0">
                  <c:v>50</c:v>
                </c:pt>
                <c:pt idx="1">
                  <c:v>45</c:v>
                </c:pt>
                <c:pt idx="2">
                  <c:v>40</c:v>
                </c:pt>
                <c:pt idx="3">
                  <c:v>35</c:v>
                </c:pt>
                <c:pt idx="4">
                  <c:v>30</c:v>
                </c:pt>
                <c:pt idx="5">
                  <c:v>25</c:v>
                </c:pt>
                <c:pt idx="6">
                  <c:v>20</c:v>
                </c:pt>
                <c:pt idx="7">
                  <c:v>15</c:v>
                </c:pt>
                <c:pt idx="8">
                  <c:v>10</c:v>
                </c:pt>
                <c:pt idx="9">
                  <c:v>5</c:v>
                </c:pt>
                <c:pt idx="10">
                  <c:v>0</c:v>
                </c:pt>
              </c:numCache>
            </c:numRef>
          </c:xVal>
          <c:yVal>
            <c:numRef>
              <c:f>'نقطة العمل'!$G$3:$Q$3</c:f>
              <c:numCache>
                <c:formatCode>General</c:formatCode>
                <c:ptCount val="11"/>
                <c:pt idx="0">
                  <c:v>32</c:v>
                </c:pt>
                <c:pt idx="1">
                  <c:v>36</c:v>
                </c:pt>
                <c:pt idx="2">
                  <c:v>39</c:v>
                </c:pt>
                <c:pt idx="3">
                  <c:v>41.5</c:v>
                </c:pt>
                <c:pt idx="4">
                  <c:v>43.5</c:v>
                </c:pt>
                <c:pt idx="5">
                  <c:v>45.5</c:v>
                </c:pt>
                <c:pt idx="6">
                  <c:v>47</c:v>
                </c:pt>
                <c:pt idx="7">
                  <c:v>48</c:v>
                </c:pt>
                <c:pt idx="8">
                  <c:v>49</c:v>
                </c:pt>
                <c:pt idx="9">
                  <c:v>50</c:v>
                </c:pt>
                <c:pt idx="10">
                  <c:v>51</c:v>
                </c:pt>
              </c:numCache>
            </c:numRef>
          </c:yVal>
          <c:smooth val="1"/>
          <c:extLst>
            <c:ext xmlns:c16="http://schemas.microsoft.com/office/drawing/2014/chart" uri="{C3380CC4-5D6E-409C-BE32-E72D297353CC}">
              <c16:uniqueId val="{00000000-1FC2-42ED-9F41-1B7C80DEB002}"/>
            </c:ext>
          </c:extLst>
        </c:ser>
        <c:ser>
          <c:idx val="1"/>
          <c:order val="1"/>
          <c:tx>
            <c:strRef>
              <c:f>'نقطة العمل'!$F$4</c:f>
              <c:strCache>
                <c:ptCount val="1"/>
                <c:pt idx="0">
                  <c:v>H sys</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'نقطة العمل'!$G$2:$Q$2</c:f>
              <c:numCache>
                <c:formatCode>General</c:formatCode>
                <c:ptCount val="11"/>
                <c:pt idx="0">
                  <c:v>50</c:v>
                </c:pt>
                <c:pt idx="1">
                  <c:v>45</c:v>
                </c:pt>
                <c:pt idx="2">
                  <c:v>40</c:v>
                </c:pt>
                <c:pt idx="3">
                  <c:v>35</c:v>
                </c:pt>
                <c:pt idx="4">
                  <c:v>30</c:v>
                </c:pt>
                <c:pt idx="5">
                  <c:v>25</c:v>
                </c:pt>
                <c:pt idx="6">
                  <c:v>20</c:v>
                </c:pt>
                <c:pt idx="7">
                  <c:v>15</c:v>
                </c:pt>
                <c:pt idx="8">
                  <c:v>10</c:v>
                </c:pt>
                <c:pt idx="9">
                  <c:v>5</c:v>
                </c:pt>
                <c:pt idx="10">
                  <c:v>0</c:v>
                </c:pt>
              </c:numCache>
            </c:numRef>
          </c:xVal>
          <c:yVal>
            <c:numRef>
              <c:f>'نقطة العمل'!$G$4:$Q$4</c:f>
              <c:numCache>
                <c:formatCode>#,##0.0</c:formatCode>
                <c:ptCount val="11"/>
                <c:pt idx="0">
                  <c:v>38.168463060964385</c:v>
                </c:pt>
                <c:pt idx="1">
                  <c:v>36.720436423126053</c:v>
                </c:pt>
                <c:pt idx="2">
                  <c:v>35.403348825948292</c:v>
                </c:pt>
                <c:pt idx="3">
                  <c:v>34.219509019409202</c:v>
                </c:pt>
                <c:pt idx="4">
                  <c:v>33.171585803034951</c:v>
                </c:pt>
                <c:pt idx="5">
                  <c:v>32.262730325972072</c:v>
                </c:pt>
                <c:pt idx="6">
                  <c:v>31.49677132148717</c:v>
                </c:pt>
                <c:pt idx="7">
                  <c:v>30.878554915947973</c:v>
                </c:pt>
                <c:pt idx="8">
                  <c:v>30.414617760391078</c:v>
                </c:pt>
                <c:pt idx="9">
                  <c:v>30.114852472628158</c:v>
                </c:pt>
                <c:pt idx="10">
                  <c:v>30</c:v>
                </c:pt>
              </c:numCache>
            </c:numRef>
          </c:yVal>
          <c:smooth val="1"/>
          <c:extLst>
            <c:ext xmlns:c16="http://schemas.microsoft.com/office/drawing/2014/chart" uri="{C3380CC4-5D6E-409C-BE32-E72D297353CC}">
              <c16:uniqueId val="{00000001-1FC2-42ED-9F41-1B7C80DEB002}"/>
            </c:ext>
          </c:extLst>
        </c:ser>
        <c:dLbls>
          <c:showLegendKey val="0"/>
          <c:showVal val="0"/>
          <c:showCatName val="0"/>
          <c:showSerName val="0"/>
          <c:showPercent val="0"/>
          <c:showBubbleSize val="0"/>
        </c:dLbls>
        <c:axId val="2031777839"/>
        <c:axId val="2040842655"/>
      </c:scatterChart>
      <c:valAx>
        <c:axId val="2031777839"/>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400" b="1" i="0" u="none" strike="noStrike" kern="1200" baseline="0">
                    <a:solidFill>
                      <a:srgbClr val="00B050"/>
                    </a:solidFill>
                    <a:latin typeface="+mn-lt"/>
                    <a:ea typeface="+mn-ea"/>
                    <a:cs typeface="+mn-cs"/>
                  </a:defRPr>
                </a:pPr>
                <a:r>
                  <a:rPr lang="en-US" sz="1400" b="1">
                    <a:solidFill>
                      <a:srgbClr val="00B050"/>
                    </a:solidFill>
                  </a:rPr>
                  <a:t>Q  </a:t>
                </a:r>
                <a:r>
                  <a:rPr lang="en-US" sz="1400" b="1" i="0" u="none" strike="noStrike" baseline="0">
                    <a:solidFill>
                      <a:srgbClr val="00B050"/>
                    </a:solidFill>
                    <a:effectLst/>
                  </a:rPr>
                  <a:t>m3/hr </a:t>
                </a:r>
                <a:endParaRPr lang="en-US" sz="1400" b="1">
                  <a:solidFill>
                    <a:srgbClr val="00B050"/>
                  </a:solidFill>
                </a:endParaRPr>
              </a:p>
            </c:rich>
          </c:tx>
          <c:overlay val="0"/>
          <c:spPr>
            <a:noFill/>
            <a:ln>
              <a:noFill/>
            </a:ln>
            <a:effectLst/>
          </c:spPr>
          <c:txPr>
            <a:bodyPr rot="0" spcFirstLastPara="1" vertOverflow="ellipsis" vert="horz" wrap="square" anchor="ctr" anchorCtr="1"/>
            <a:lstStyle/>
            <a:p>
              <a:pPr>
                <a:defRPr sz="1400" b="1" i="0" u="none" strike="noStrike" kern="1200" baseline="0">
                  <a:solidFill>
                    <a:srgbClr val="00B05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0842655"/>
        <c:crosses val="autoZero"/>
        <c:crossBetween val="midCat"/>
        <c:majorUnit val="5"/>
      </c:valAx>
      <c:valAx>
        <c:axId val="2040842655"/>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rgbClr val="00B050"/>
                    </a:solidFill>
                    <a:latin typeface="+mn-lt"/>
                    <a:ea typeface="+mn-ea"/>
                    <a:cs typeface="+mn-cs"/>
                  </a:defRPr>
                </a:pPr>
                <a:r>
                  <a:rPr lang="en-US" sz="1200" b="1">
                    <a:solidFill>
                      <a:srgbClr val="00B050"/>
                    </a:solidFill>
                  </a:rPr>
                  <a:t>H mH2O</a:t>
                </a:r>
              </a:p>
            </c:rich>
          </c:tx>
          <c:overlay val="0"/>
          <c:spPr>
            <a:noFill/>
            <a:ln>
              <a:noFill/>
            </a:ln>
            <a:effectLst/>
          </c:spPr>
          <c:txPr>
            <a:bodyPr rot="-5400000" spcFirstLastPara="1" vertOverflow="ellipsis" vert="horz" wrap="square" anchor="ctr" anchorCtr="1"/>
            <a:lstStyle/>
            <a:p>
              <a:pPr>
                <a:defRPr sz="1200" b="1" i="0" u="none" strike="noStrike" kern="1200" baseline="0">
                  <a:solidFill>
                    <a:srgbClr val="00B05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31777839"/>
        <c:crosses val="autoZero"/>
        <c:crossBetween val="midCat"/>
      </c:valAx>
      <c:spPr>
        <a:noFill/>
        <a:ln>
          <a:noFill/>
        </a:ln>
        <a:effectLst/>
      </c:spPr>
    </c:plotArea>
    <c:legend>
      <c:legendPos val="b"/>
      <c:layout>
        <c:manualLayout>
          <c:xMode val="edge"/>
          <c:yMode val="edge"/>
          <c:x val="6.7146868867089024E-2"/>
          <c:y val="0.90686236668504339"/>
          <c:w val="0.26679670999378141"/>
          <c:h val="5.8207161009289909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19050" cap="flat" cmpd="sng" algn="ctr">
      <a:solidFill>
        <a:schemeClr val="accent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9" dropStyle="combo" dx="22" fmlaLink="$D$3" fmlaRange="$Z$4:$Z$12" noThreeD="1" sel="5" val="0"/>
</file>

<file path=xl/ctrlProps/ctrlProp10.xml><?xml version="1.0" encoding="utf-8"?>
<formControlPr xmlns="http://schemas.microsoft.com/office/spreadsheetml/2009/9/main" objectType="Drop" dropLines="12" dropStyle="combo" dx="22" fmlaLink="$I$15" fmlaRange="$CB$4:$CB$15" noThreeD="1" sel="7" val="0"/>
</file>

<file path=xl/ctrlProps/ctrlProp11.xml><?xml version="1.0" encoding="utf-8"?>
<formControlPr xmlns="http://schemas.microsoft.com/office/spreadsheetml/2009/9/main" objectType="Drop" dropLines="12" dropStyle="combo" dx="22" fmlaLink="$I$15" fmlaRange="$CB$4:$CB$15" noThreeD="1" sel="7" val="0"/>
</file>

<file path=xl/ctrlProps/ctrlProp12.xml><?xml version="1.0" encoding="utf-8"?>
<formControlPr xmlns="http://schemas.microsoft.com/office/spreadsheetml/2009/9/main" objectType="Drop" dropLines="9" dropStyle="combo" dx="22" fmlaLink="$N$3" fmlaRange="$CH$4:$CH$12" noThreeD="1" sel="1" val="0"/>
</file>

<file path=xl/ctrlProps/ctrlProp13.xml><?xml version="1.0" encoding="utf-8"?>
<formControlPr xmlns="http://schemas.microsoft.com/office/spreadsheetml/2009/9/main" objectType="Drop" dropLines="5" dropStyle="combo" dx="22" fmlaLink="$S$7" fmlaRange="$DR$4:$DR$8" noThreeD="1" sel="1" val="0"/>
</file>

<file path=xl/ctrlProps/ctrlProp14.xml><?xml version="1.0" encoding="utf-8"?>
<formControlPr xmlns="http://schemas.microsoft.com/office/spreadsheetml/2009/9/main" objectType="Drop" dropLines="5" dropStyle="combo" dx="22" fmlaLink="$S$11" fmlaRange="$DX$4:$DX$8" noThreeD="1" sel="4" val="0"/>
</file>

<file path=xl/ctrlProps/ctrlProp15.xml><?xml version="1.0" encoding="utf-8"?>
<formControlPr xmlns="http://schemas.microsoft.com/office/spreadsheetml/2009/9/main" objectType="Drop" dropLines="9" dropStyle="combo" dx="22" fmlaLink="$D$4" fmlaRange="$Z$4:$Z$12" noThreeD="1" sel="6" val="0"/>
</file>

<file path=xl/ctrlProps/ctrlProp16.xml><?xml version="1.0" encoding="utf-8"?>
<formControlPr xmlns="http://schemas.microsoft.com/office/spreadsheetml/2009/9/main" objectType="Drop" dropLines="11" dropStyle="combo" dx="22" fmlaLink="$D$8" fmlaRange="$AF$4:$AF$14" noThreeD="1" sel="9" val="0"/>
</file>

<file path=xl/ctrlProps/ctrlProp17.xml><?xml version="1.0" encoding="utf-8"?>
<formControlPr xmlns="http://schemas.microsoft.com/office/spreadsheetml/2009/9/main" objectType="Drop" dropStyle="combo" dx="22" fmlaLink="$D$12" fmlaRange="$AL$4:$AL$11" noThreeD="1" sel="3" val="0"/>
</file>

<file path=xl/ctrlProps/ctrlProp18.xml><?xml version="1.0" encoding="utf-8"?>
<formControlPr xmlns="http://schemas.microsoft.com/office/spreadsheetml/2009/9/main" objectType="Drop" dropLines="14" dropStyle="combo" dx="22" fmlaLink="$D$16" fmlaRange="$AR$4:$AR$17" noThreeD="1" sel="2" val="0"/>
</file>

<file path=xl/ctrlProps/ctrlProp19.xml><?xml version="1.0" encoding="utf-8"?>
<formControlPr xmlns="http://schemas.microsoft.com/office/spreadsheetml/2009/9/main" objectType="Drop" dropLines="13" dropStyle="combo" dx="22" fmlaLink="$D$20" fmlaRange="$AX$4:$AX$15" noThreeD="1" sel="8" val="0"/>
</file>

<file path=xl/ctrlProps/ctrlProp2.xml><?xml version="1.0" encoding="utf-8"?>
<formControlPr xmlns="http://schemas.microsoft.com/office/spreadsheetml/2009/9/main" objectType="Drop" dropLines="11" dropStyle="combo" dx="22" fmlaLink="$D$7" fmlaRange="$AF$4:$AF$14" noThreeD="1" sel="3" val="0"/>
</file>

<file path=xl/ctrlProps/ctrlProp20.xml><?xml version="1.0" encoding="utf-8"?>
<formControlPr xmlns="http://schemas.microsoft.com/office/spreadsheetml/2009/9/main" objectType="Drop" dropLines="13" dropStyle="combo" dx="22" fmlaLink="$I$4" fmlaRange="$BD$4:$BD$15" noThreeD="1" sel="1" val="0"/>
</file>

<file path=xl/ctrlProps/ctrlProp21.xml><?xml version="1.0" encoding="utf-8"?>
<formControlPr xmlns="http://schemas.microsoft.com/office/spreadsheetml/2009/9/main" objectType="Drop" dropLines="10" dropStyle="combo" dx="22" fmlaLink="$I$8" fmlaRange="$BJ$4:$BJ$13" noThreeD="1" sel="4" val="0"/>
</file>

<file path=xl/ctrlProps/ctrlProp22.xml><?xml version="1.0" encoding="utf-8"?>
<formControlPr xmlns="http://schemas.microsoft.com/office/spreadsheetml/2009/9/main" objectType="Drop" dropLines="11" dropStyle="combo" dx="22" fmlaLink="$I$12" fmlaRange="$BP$4:$BP$14" noThreeD="1" sel="4" val="0"/>
</file>

<file path=xl/ctrlProps/ctrlProp23.xml><?xml version="1.0" encoding="utf-8"?>
<formControlPr xmlns="http://schemas.microsoft.com/office/spreadsheetml/2009/9/main" objectType="Drop" dropLines="11" dropStyle="combo" dx="22" fmlaLink="$I$20" fmlaRange="$BV$4:$BV$14" noThreeD="1" sel="11" val="0"/>
</file>

<file path=xl/ctrlProps/ctrlProp24.xml><?xml version="1.0" encoding="utf-8"?>
<formControlPr xmlns="http://schemas.microsoft.com/office/spreadsheetml/2009/9/main" objectType="Drop" dropLines="12" dropStyle="combo" dx="22" fmlaLink="$I$16" fmlaRange="$CB$4:$CB$15" noThreeD="1" sel="12" val="0"/>
</file>

<file path=xl/ctrlProps/ctrlProp25.xml><?xml version="1.0" encoding="utf-8"?>
<formControlPr xmlns="http://schemas.microsoft.com/office/spreadsheetml/2009/9/main" objectType="Drop" dropLines="9" dropStyle="combo" dx="22" fmlaLink="$N$4" fmlaRange="$CH$4:$CH$12" noThreeD="1" sel="5" val="0"/>
</file>

<file path=xl/ctrlProps/ctrlProp26.xml><?xml version="1.0" encoding="utf-8"?>
<formControlPr xmlns="http://schemas.microsoft.com/office/spreadsheetml/2009/9/main" objectType="Drop" dropLines="7" dropStyle="combo" dx="22" fmlaLink="$N$8" fmlaRange="$CN$4:$CN$10" noThreeD="1" sel="5" val="0"/>
</file>

<file path=xl/ctrlProps/ctrlProp27.xml><?xml version="1.0" encoding="utf-8"?>
<formControlPr xmlns="http://schemas.microsoft.com/office/spreadsheetml/2009/9/main" objectType="Drop" dropLines="11" dropStyle="combo" dx="22" fmlaLink="$N$12" fmlaRange="$CT$4:$CT$14" noThreeD="1" sel="6" val="0"/>
</file>

<file path=xl/ctrlProps/ctrlProp28.xml><?xml version="1.0" encoding="utf-8"?>
<formControlPr xmlns="http://schemas.microsoft.com/office/spreadsheetml/2009/9/main" objectType="Drop" dropLines="5" dropStyle="combo" dx="22" fmlaLink="$N$16" fmlaRange="$CZ$4:$CZ$8" noThreeD="1" sel="3" val="0"/>
</file>

<file path=xl/ctrlProps/ctrlProp29.xml><?xml version="1.0" encoding="utf-8"?>
<formControlPr xmlns="http://schemas.microsoft.com/office/spreadsheetml/2009/9/main" objectType="Drop" dropLines="5" dropStyle="combo" dx="22" fmlaLink="$N$20" fmlaRange="$DF$4:$DF$8" noThreeD="1" sel="3" val="0"/>
</file>

<file path=xl/ctrlProps/ctrlProp3.xml><?xml version="1.0" encoding="utf-8"?>
<formControlPr xmlns="http://schemas.microsoft.com/office/spreadsheetml/2009/9/main" objectType="Drop" dropStyle="combo" dx="22" fmlaLink="$D$11" fmlaRange="$AL$4:$AL$11" noThreeD="1" sel="5" val="0"/>
</file>

<file path=xl/ctrlProps/ctrlProp30.xml><?xml version="1.0" encoding="utf-8"?>
<formControlPr xmlns="http://schemas.microsoft.com/office/spreadsheetml/2009/9/main" objectType="Drop" dropLines="5" dropStyle="combo" dx="22" fmlaLink="$S$8" fmlaRange="$DR$4:$DR$8" noThreeD="1" sel="5" val="0"/>
</file>

<file path=xl/ctrlProps/ctrlProp31.xml><?xml version="1.0" encoding="utf-8"?>
<formControlPr xmlns="http://schemas.microsoft.com/office/spreadsheetml/2009/9/main" objectType="Drop" dropLines="5" dropStyle="combo" dx="22" fmlaLink="$S$12" fmlaRange="$DX$4:$DX$8" noThreeD="1" sel="5" val="0"/>
</file>

<file path=xl/ctrlProps/ctrlProp32.xml><?xml version="1.0" encoding="utf-8"?>
<formControlPr xmlns="http://schemas.microsoft.com/office/spreadsheetml/2009/9/main" objectType="Drop" dropLines="7" dropStyle="combo" dx="22" fmlaLink="$N$7" fmlaRange="$CN$4:$CN$10" noThreeD="1" sel="1" val="0"/>
</file>

<file path=xl/ctrlProps/ctrlProp33.xml><?xml version="1.0" encoding="utf-8"?>
<formControlPr xmlns="http://schemas.microsoft.com/office/spreadsheetml/2009/9/main" objectType="Drop" dropLines="11" dropStyle="combo" dx="22" fmlaLink="$N$11" fmlaRange="$CT$4:$CT$14" noThreeD="1" sel="7" val="0"/>
</file>

<file path=xl/ctrlProps/ctrlProp34.xml><?xml version="1.0" encoding="utf-8"?>
<formControlPr xmlns="http://schemas.microsoft.com/office/spreadsheetml/2009/9/main" objectType="Drop" dropLines="5" dropStyle="combo" dx="22" fmlaLink="$N$15" fmlaRange="$CZ$4:$CZ$8" noThreeD="1" sel="1" val="0"/>
</file>

<file path=xl/ctrlProps/ctrlProp35.xml><?xml version="1.0" encoding="utf-8"?>
<formControlPr xmlns="http://schemas.microsoft.com/office/spreadsheetml/2009/9/main" objectType="Drop" dropLines="5" dropStyle="combo" dx="22" fmlaLink="$N$19" fmlaRange="$DF$4:$DF$8" noThreeD="1" sel="1" val="0"/>
</file>

<file path=xl/ctrlProps/ctrlProp36.xml><?xml version="1.0" encoding="utf-8"?>
<formControlPr xmlns="http://schemas.microsoft.com/office/spreadsheetml/2009/9/main" objectType="Drop" dropLines="5" dropStyle="combo" dx="22" fmlaLink="$S$4" fmlaRange="$DL$4:$DL$8" noThreeD="1" sel="5" val="0"/>
</file>

<file path=xl/ctrlProps/ctrlProp37.xml><?xml version="1.0" encoding="utf-8"?>
<formControlPr xmlns="http://schemas.microsoft.com/office/spreadsheetml/2009/9/main" objectType="Drop" dropLines="5" dropStyle="combo" dx="22" fmlaLink="$S$3" fmlaRange="$DL$4:$DL$8" noThreeD="1" sel="1" val="0"/>
</file>

<file path=xl/ctrlProps/ctrlProp4.xml><?xml version="1.0" encoding="utf-8"?>
<formControlPr xmlns="http://schemas.microsoft.com/office/spreadsheetml/2009/9/main" objectType="Drop" dropLines="14" dropStyle="combo" dx="22" fmlaLink="$D$15" fmlaRange="$AR$4:$AR$17" noThreeD="1" sel="1" val="0"/>
</file>

<file path=xl/ctrlProps/ctrlProp5.xml><?xml version="1.0" encoding="utf-8"?>
<formControlPr xmlns="http://schemas.microsoft.com/office/spreadsheetml/2009/9/main" objectType="Drop" dropLines="13" dropStyle="combo" dx="22" fmlaLink="$D$19" fmlaRange="$AX$4:$AX$15" noThreeD="1" sel="10" val="0"/>
</file>

<file path=xl/ctrlProps/ctrlProp6.xml><?xml version="1.0" encoding="utf-8"?>
<formControlPr xmlns="http://schemas.microsoft.com/office/spreadsheetml/2009/9/main" objectType="Drop" dropLines="12" dropStyle="combo" dx="22" fmlaLink="$I$3" fmlaRange="$BD$4:$BD$15" noThreeD="1" sel="6" val="0"/>
</file>

<file path=xl/ctrlProps/ctrlProp7.xml><?xml version="1.0" encoding="utf-8"?>
<formControlPr xmlns="http://schemas.microsoft.com/office/spreadsheetml/2009/9/main" objectType="Drop" dropLines="10" dropStyle="combo" dx="22" fmlaLink="$I$7" fmlaRange="$BJ$4:$BJ$13" noThreeD="1" sel="2" val="0"/>
</file>

<file path=xl/ctrlProps/ctrlProp8.xml><?xml version="1.0" encoding="utf-8"?>
<formControlPr xmlns="http://schemas.microsoft.com/office/spreadsheetml/2009/9/main" objectType="Drop" dropLines="11" dropStyle="combo" dx="22" fmlaLink="$I$11" fmlaRange="$BP$4:$BP$14" noThreeD="1" sel="1" val="0"/>
</file>

<file path=xl/ctrlProps/ctrlProp9.xml><?xml version="1.0" encoding="utf-8"?>
<formControlPr xmlns="http://schemas.microsoft.com/office/spreadsheetml/2009/9/main" objectType="Drop" dropLines="11" dropStyle="combo" dx="22" fmlaLink="$I$19" fmlaRange="$BV$4:$BV$14" noThreeD="1" sel="7" val="0"/>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44823</xdr:colOff>
      <xdr:row>3</xdr:row>
      <xdr:rowOff>268941</xdr:rowOff>
    </xdr:from>
    <xdr:to>
      <xdr:col>4</xdr:col>
      <xdr:colOff>537882</xdr:colOff>
      <xdr:row>3</xdr:row>
      <xdr:rowOff>392206</xdr:rowOff>
    </xdr:to>
    <xdr:sp macro="" textlink="">
      <xdr:nvSpPr>
        <xdr:cNvPr id="2" name="Arrow: Left 1">
          <a:extLst>
            <a:ext uri="{FF2B5EF4-FFF2-40B4-BE49-F238E27FC236}">
              <a16:creationId xmlns:a16="http://schemas.microsoft.com/office/drawing/2014/main" id="{00000000-0008-0000-0100-000002000000}"/>
            </a:ext>
          </a:extLst>
        </xdr:cNvPr>
        <xdr:cNvSpPr/>
      </xdr:nvSpPr>
      <xdr:spPr>
        <a:xfrm>
          <a:off x="5804647" y="1602441"/>
          <a:ext cx="493059" cy="123265"/>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56029</xdr:colOff>
      <xdr:row>7</xdr:row>
      <xdr:rowOff>224117</xdr:rowOff>
    </xdr:from>
    <xdr:to>
      <xdr:col>4</xdr:col>
      <xdr:colOff>549088</xdr:colOff>
      <xdr:row>7</xdr:row>
      <xdr:rowOff>347382</xdr:rowOff>
    </xdr:to>
    <xdr:sp macro="" textlink="">
      <xdr:nvSpPr>
        <xdr:cNvPr id="7" name="Arrow: Left 6">
          <a:extLst>
            <a:ext uri="{FF2B5EF4-FFF2-40B4-BE49-F238E27FC236}">
              <a16:creationId xmlns:a16="http://schemas.microsoft.com/office/drawing/2014/main" id="{00000000-0008-0000-0100-000007000000}"/>
            </a:ext>
          </a:extLst>
        </xdr:cNvPr>
        <xdr:cNvSpPr/>
      </xdr:nvSpPr>
      <xdr:spPr>
        <a:xfrm>
          <a:off x="5815853" y="3742764"/>
          <a:ext cx="493059" cy="123265"/>
        </a:xfrm>
        <a:prstGeom prst="leftArrow">
          <a:avLst/>
        </a:prstGeom>
        <a:solidFill>
          <a:srgbClr val="FF0000"/>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4</xdr:col>
      <xdr:colOff>56028</xdr:colOff>
      <xdr:row>8</xdr:row>
      <xdr:rowOff>257735</xdr:rowOff>
    </xdr:from>
    <xdr:to>
      <xdr:col>4</xdr:col>
      <xdr:colOff>549087</xdr:colOff>
      <xdr:row>8</xdr:row>
      <xdr:rowOff>381000</xdr:rowOff>
    </xdr:to>
    <xdr:sp macro="" textlink="">
      <xdr:nvSpPr>
        <xdr:cNvPr id="10" name="Arrow: Left 9">
          <a:extLst>
            <a:ext uri="{FF2B5EF4-FFF2-40B4-BE49-F238E27FC236}">
              <a16:creationId xmlns:a16="http://schemas.microsoft.com/office/drawing/2014/main" id="{00000000-0008-0000-0100-00000A000000}"/>
            </a:ext>
          </a:extLst>
        </xdr:cNvPr>
        <xdr:cNvSpPr/>
      </xdr:nvSpPr>
      <xdr:spPr>
        <a:xfrm>
          <a:off x="5815852" y="4370294"/>
          <a:ext cx="493059" cy="123265"/>
        </a:xfrm>
        <a:prstGeom prst="leftArrow">
          <a:avLst/>
        </a:prstGeom>
        <a:solidFill>
          <a:srgbClr val="FF0000"/>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753719</xdr:colOff>
      <xdr:row>21</xdr:row>
      <xdr:rowOff>114713</xdr:rowOff>
    </xdr:from>
    <xdr:to>
      <xdr:col>11</xdr:col>
      <xdr:colOff>8283</xdr:colOff>
      <xdr:row>41</xdr:row>
      <xdr:rowOff>68933</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9019762" y="5904256"/>
          <a:ext cx="4969564" cy="5114286"/>
        </a:xfrm>
        <a:prstGeom prst="rect">
          <a:avLst/>
        </a:prstGeom>
      </xdr:spPr>
    </xdr:pic>
    <xdr:clientData/>
  </xdr:twoCellAnchor>
  <xdr:twoCellAnchor>
    <xdr:from>
      <xdr:col>6</xdr:col>
      <xdr:colOff>1383194</xdr:colOff>
      <xdr:row>6</xdr:row>
      <xdr:rowOff>115957</xdr:rowOff>
    </xdr:from>
    <xdr:to>
      <xdr:col>8</xdr:col>
      <xdr:colOff>231913</xdr:colOff>
      <xdr:row>6</xdr:row>
      <xdr:rowOff>173935</xdr:rowOff>
    </xdr:to>
    <xdr:sp macro="" textlink="">
      <xdr:nvSpPr>
        <xdr:cNvPr id="3" name="Arrow: Right 2">
          <a:extLst>
            <a:ext uri="{FF2B5EF4-FFF2-40B4-BE49-F238E27FC236}">
              <a16:creationId xmlns:a16="http://schemas.microsoft.com/office/drawing/2014/main" id="{00000000-0008-0000-0200-000003000000}"/>
            </a:ext>
          </a:extLst>
        </xdr:cNvPr>
        <xdr:cNvSpPr/>
      </xdr:nvSpPr>
      <xdr:spPr>
        <a:xfrm>
          <a:off x="8547651" y="2012674"/>
          <a:ext cx="1085023" cy="57978"/>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15687</xdr:colOff>
      <xdr:row>2</xdr:row>
      <xdr:rowOff>69444</xdr:rowOff>
    </xdr:from>
    <xdr:to>
      <xdr:col>22</xdr:col>
      <xdr:colOff>592230</xdr:colOff>
      <xdr:row>35</xdr:row>
      <xdr:rowOff>10442</xdr:rowOff>
    </xdr:to>
    <xdr:pic>
      <xdr:nvPicPr>
        <xdr:cNvPr id="7" name="Picture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271746" y="786620"/>
          <a:ext cx="6022602" cy="72360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0</xdr:colOff>
      <xdr:row>0</xdr:row>
      <xdr:rowOff>190500</xdr:rowOff>
    </xdr:from>
    <xdr:to>
      <xdr:col>22</xdr:col>
      <xdr:colOff>581025</xdr:colOff>
      <xdr:row>38</xdr:row>
      <xdr:rowOff>47625</xdr:rowOff>
    </xdr:to>
    <xdr:sp macro="" textlink="">
      <xdr:nvSpPr>
        <xdr:cNvPr id="6145" name="AutoShape 1">
          <a:extLst>
            <a:ext uri="{FF2B5EF4-FFF2-40B4-BE49-F238E27FC236}">
              <a16:creationId xmlns:a16="http://schemas.microsoft.com/office/drawing/2014/main" id="{00000000-0008-0000-0300-000001180000}"/>
            </a:ext>
          </a:extLst>
        </xdr:cNvPr>
        <xdr:cNvSpPr>
          <a:spLocks noChangeAspect="1" noChangeArrowheads="1"/>
        </xdr:cNvSpPr>
      </xdr:nvSpPr>
      <xdr:spPr bwMode="auto">
        <a:xfrm>
          <a:off x="9277350" y="190500"/>
          <a:ext cx="6067425" cy="86201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7</xdr:row>
      <xdr:rowOff>80962</xdr:rowOff>
    </xdr:from>
    <xdr:to>
      <xdr:col>4</xdr:col>
      <xdr:colOff>28575</xdr:colOff>
      <xdr:row>15</xdr:row>
      <xdr:rowOff>358588</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7</xdr:row>
      <xdr:rowOff>57150</xdr:rowOff>
    </xdr:from>
    <xdr:to>
      <xdr:col>17</xdr:col>
      <xdr:colOff>600074</xdr:colOff>
      <xdr:row>15</xdr:row>
      <xdr:rowOff>369794</xdr:rowOff>
    </xdr:to>
    <xdr:graphicFrame macro="">
      <xdr:nvGraphicFramePr>
        <xdr:cNvPr id="3" name="Chart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781051</xdr:colOff>
      <xdr:row>1</xdr:row>
      <xdr:rowOff>95250</xdr:rowOff>
    </xdr:from>
    <xdr:to>
      <xdr:col>21</xdr:col>
      <xdr:colOff>85726</xdr:colOff>
      <xdr:row>1</xdr:row>
      <xdr:rowOff>209550</xdr:rowOff>
    </xdr:to>
    <xdr:sp macro="" textlink="">
      <xdr:nvSpPr>
        <xdr:cNvPr id="5" name="Arrow: Left 4">
          <a:extLst>
            <a:ext uri="{FF2B5EF4-FFF2-40B4-BE49-F238E27FC236}">
              <a16:creationId xmlns:a16="http://schemas.microsoft.com/office/drawing/2014/main" id="{00000000-0008-0000-0500-000005000000}"/>
            </a:ext>
          </a:extLst>
        </xdr:cNvPr>
        <xdr:cNvSpPr/>
      </xdr:nvSpPr>
      <xdr:spPr>
        <a:xfrm>
          <a:off x="13954126" y="200025"/>
          <a:ext cx="781050" cy="114300"/>
        </a:xfrm>
        <a:prstGeom prst="leftArrow">
          <a:avLst/>
        </a:prstGeom>
        <a:solidFill>
          <a:srgbClr val="C00000"/>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19</xdr:col>
      <xdr:colOff>781051</xdr:colOff>
      <xdr:row>2</xdr:row>
      <xdr:rowOff>76201</xdr:rowOff>
    </xdr:from>
    <xdr:to>
      <xdr:col>21</xdr:col>
      <xdr:colOff>66676</xdr:colOff>
      <xdr:row>2</xdr:row>
      <xdr:rowOff>180975</xdr:rowOff>
    </xdr:to>
    <xdr:sp macro="" textlink="">
      <xdr:nvSpPr>
        <xdr:cNvPr id="7" name="Arrow: Left 6">
          <a:extLst>
            <a:ext uri="{FF2B5EF4-FFF2-40B4-BE49-F238E27FC236}">
              <a16:creationId xmlns:a16="http://schemas.microsoft.com/office/drawing/2014/main" id="{00000000-0008-0000-0500-000007000000}"/>
            </a:ext>
          </a:extLst>
        </xdr:cNvPr>
        <xdr:cNvSpPr/>
      </xdr:nvSpPr>
      <xdr:spPr>
        <a:xfrm>
          <a:off x="13954126" y="514351"/>
          <a:ext cx="762000" cy="104774"/>
        </a:xfrm>
        <a:prstGeom prst="leftArrow">
          <a:avLst/>
        </a:prstGeom>
        <a:solidFill>
          <a:srgbClr val="C00000"/>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twoCellAnchor>
    <xdr:from>
      <xdr:col>19</xdr:col>
      <xdr:colOff>790575</xdr:colOff>
      <xdr:row>3</xdr:row>
      <xdr:rowOff>66675</xdr:rowOff>
    </xdr:from>
    <xdr:to>
      <xdr:col>21</xdr:col>
      <xdr:colOff>76200</xdr:colOff>
      <xdr:row>3</xdr:row>
      <xdr:rowOff>190500</xdr:rowOff>
    </xdr:to>
    <xdr:sp macro="" textlink="">
      <xdr:nvSpPr>
        <xdr:cNvPr id="8" name="Arrow: Left 7">
          <a:extLst>
            <a:ext uri="{FF2B5EF4-FFF2-40B4-BE49-F238E27FC236}">
              <a16:creationId xmlns:a16="http://schemas.microsoft.com/office/drawing/2014/main" id="{00000000-0008-0000-0500-000008000000}"/>
            </a:ext>
          </a:extLst>
        </xdr:cNvPr>
        <xdr:cNvSpPr/>
      </xdr:nvSpPr>
      <xdr:spPr>
        <a:xfrm>
          <a:off x="13963650" y="781050"/>
          <a:ext cx="762000" cy="123825"/>
        </a:xfrm>
        <a:prstGeom prst="leftArrow">
          <a:avLst/>
        </a:prstGeom>
        <a:solidFill>
          <a:srgbClr val="C00000"/>
        </a:solidFill>
        <a:ln w="25400" cap="flat" cmpd="sng" algn="ctr">
          <a:solidFill>
            <a:srgbClr val="FF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 lastClr="FFFFFF"/>
            </a:solidFill>
            <a:effectLst/>
            <a:uLnTx/>
            <a:uFillTx/>
            <a:latin typeface="Calibri" panose="020F0502020204030204"/>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76200</xdr:colOff>
      <xdr:row>19</xdr:row>
      <xdr:rowOff>104775</xdr:rowOff>
    </xdr:from>
    <xdr:to>
      <xdr:col>13</xdr:col>
      <xdr:colOff>456486</xdr:colOff>
      <xdr:row>39</xdr:row>
      <xdr:rowOff>37439</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1"/>
        <a:stretch>
          <a:fillRect/>
        </a:stretch>
      </xdr:blipFill>
      <xdr:spPr>
        <a:xfrm>
          <a:off x="8715375" y="6667500"/>
          <a:ext cx="5714286" cy="5447639"/>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5</xdr:col>
      <xdr:colOff>1390650</xdr:colOff>
      <xdr:row>8</xdr:row>
      <xdr:rowOff>104775</xdr:rowOff>
    </xdr:from>
    <xdr:to>
      <xdr:col>7</xdr:col>
      <xdr:colOff>123825</xdr:colOff>
      <xdr:row>8</xdr:row>
      <xdr:rowOff>171450</xdr:rowOff>
    </xdr:to>
    <xdr:sp macro="" textlink="">
      <xdr:nvSpPr>
        <xdr:cNvPr id="2" name="Arrow: Right 1">
          <a:extLst>
            <a:ext uri="{FF2B5EF4-FFF2-40B4-BE49-F238E27FC236}">
              <a16:creationId xmlns:a16="http://schemas.microsoft.com/office/drawing/2014/main" id="{00000000-0008-0000-0600-000002000000}"/>
            </a:ext>
          </a:extLst>
        </xdr:cNvPr>
        <xdr:cNvSpPr/>
      </xdr:nvSpPr>
      <xdr:spPr>
        <a:xfrm>
          <a:off x="8172450" y="3400425"/>
          <a:ext cx="590550" cy="66675"/>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b="1" cap="none" spc="0">
            <a:ln w="22225">
              <a:solidFill>
                <a:schemeClr val="accent2"/>
              </a:solidFill>
              <a:prstDash val="solid"/>
            </a:ln>
            <a:solidFill>
              <a:schemeClr val="accent2">
                <a:lumMod val="40000"/>
                <a:lumOff val="60000"/>
              </a:schemeClr>
            </a:solidFill>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285750</xdr:colOff>
      <xdr:row>13</xdr:row>
      <xdr:rowOff>276225</xdr:rowOff>
    </xdr:from>
    <xdr:to>
      <xdr:col>13</xdr:col>
      <xdr:colOff>352425</xdr:colOff>
      <xdr:row>13</xdr:row>
      <xdr:rowOff>371475</xdr:rowOff>
    </xdr:to>
    <xdr:sp macro="" textlink="">
      <xdr:nvSpPr>
        <xdr:cNvPr id="2" name="Arrow: Right 1">
          <a:extLst>
            <a:ext uri="{FF2B5EF4-FFF2-40B4-BE49-F238E27FC236}">
              <a16:creationId xmlns:a16="http://schemas.microsoft.com/office/drawing/2014/main" id="{00000000-0008-0000-0700-000002000000}"/>
            </a:ext>
          </a:extLst>
        </xdr:cNvPr>
        <xdr:cNvSpPr/>
      </xdr:nvSpPr>
      <xdr:spPr>
        <a:xfrm>
          <a:off x="3952875" y="6229350"/>
          <a:ext cx="4505325" cy="952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3</xdr:col>
          <xdr:colOff>0</xdr:colOff>
          <xdr:row>3</xdr:row>
          <xdr:rowOff>0</xdr:rowOff>
        </xdr:to>
        <xdr:sp macro="" textlink="">
          <xdr:nvSpPr>
            <xdr:cNvPr id="8193" name="Drop Down 1" hidden="1">
              <a:extLst>
                <a:ext uri="{63B3BB69-23CF-44E3-9099-C40C66FF867C}">
                  <a14:compatExt spid="_x0000_s8193"/>
                </a:ext>
                <a:ext uri="{FF2B5EF4-FFF2-40B4-BE49-F238E27FC236}">
                  <a16:creationId xmlns:a16="http://schemas.microsoft.com/office/drawing/2014/main" id="{00000000-0008-0000-0800-000001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190500</xdr:rowOff>
        </xdr:from>
        <xdr:to>
          <xdr:col>3</xdr:col>
          <xdr:colOff>0</xdr:colOff>
          <xdr:row>7</xdr:row>
          <xdr:rowOff>0</xdr:rowOff>
        </xdr:to>
        <xdr:sp macro="" textlink="">
          <xdr:nvSpPr>
            <xdr:cNvPr id="8194" name="Drop Down 2" hidden="1">
              <a:extLst>
                <a:ext uri="{63B3BB69-23CF-44E3-9099-C40C66FF867C}">
                  <a14:compatExt spid="_x0000_s8194"/>
                </a:ext>
                <a:ext uri="{FF2B5EF4-FFF2-40B4-BE49-F238E27FC236}">
                  <a16:creationId xmlns:a16="http://schemas.microsoft.com/office/drawing/2014/main" id="{00000000-0008-0000-0800-000002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190500</xdr:rowOff>
        </xdr:from>
        <xdr:to>
          <xdr:col>3</xdr:col>
          <xdr:colOff>0</xdr:colOff>
          <xdr:row>10</xdr:row>
          <xdr:rowOff>190500</xdr:rowOff>
        </xdr:to>
        <xdr:sp macro="" textlink="">
          <xdr:nvSpPr>
            <xdr:cNvPr id="8195" name="Drop Down 3" hidden="1">
              <a:extLst>
                <a:ext uri="{63B3BB69-23CF-44E3-9099-C40C66FF867C}">
                  <a14:compatExt spid="_x0000_s8195"/>
                </a:ext>
                <a:ext uri="{FF2B5EF4-FFF2-40B4-BE49-F238E27FC236}">
                  <a16:creationId xmlns:a16="http://schemas.microsoft.com/office/drawing/2014/main" id="{00000000-0008-0000-0800-000003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3</xdr:col>
          <xdr:colOff>0</xdr:colOff>
          <xdr:row>15</xdr:row>
          <xdr:rowOff>0</xdr:rowOff>
        </xdr:to>
        <xdr:sp macro="" textlink="">
          <xdr:nvSpPr>
            <xdr:cNvPr id="8196" name="Drop Down 4" hidden="1">
              <a:extLst>
                <a:ext uri="{63B3BB69-23CF-44E3-9099-C40C66FF867C}">
                  <a14:compatExt spid="_x0000_s8196"/>
                </a:ext>
                <a:ext uri="{FF2B5EF4-FFF2-40B4-BE49-F238E27FC236}">
                  <a16:creationId xmlns:a16="http://schemas.microsoft.com/office/drawing/2014/main" id="{00000000-0008-0000-0800-000004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3</xdr:col>
          <xdr:colOff>0</xdr:colOff>
          <xdr:row>19</xdr:row>
          <xdr:rowOff>0</xdr:rowOff>
        </xdr:to>
        <xdr:sp macro="" textlink="">
          <xdr:nvSpPr>
            <xdr:cNvPr id="8197" name="Drop Down 5" hidden="1">
              <a:extLst>
                <a:ext uri="{63B3BB69-23CF-44E3-9099-C40C66FF867C}">
                  <a14:compatExt spid="_x0000_s8197"/>
                </a:ext>
                <a:ext uri="{FF2B5EF4-FFF2-40B4-BE49-F238E27FC236}">
                  <a16:creationId xmlns:a16="http://schemas.microsoft.com/office/drawing/2014/main" id="{00000000-0008-0000-0800-000005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xdr:row>
          <xdr:rowOff>190500</xdr:rowOff>
        </xdr:from>
        <xdr:to>
          <xdr:col>8</xdr:col>
          <xdr:colOff>0</xdr:colOff>
          <xdr:row>3</xdr:row>
          <xdr:rowOff>0</xdr:rowOff>
        </xdr:to>
        <xdr:sp macro="" textlink="">
          <xdr:nvSpPr>
            <xdr:cNvPr id="8198" name="Drop Down 6" hidden="1">
              <a:extLst>
                <a:ext uri="{63B3BB69-23CF-44E3-9099-C40C66FF867C}">
                  <a14:compatExt spid="_x0000_s8198"/>
                </a:ext>
                <a:ext uri="{FF2B5EF4-FFF2-40B4-BE49-F238E27FC236}">
                  <a16:creationId xmlns:a16="http://schemas.microsoft.com/office/drawing/2014/main" id="{00000000-0008-0000-0800-000006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190500</xdr:rowOff>
        </xdr:from>
        <xdr:to>
          <xdr:col>8</xdr:col>
          <xdr:colOff>0</xdr:colOff>
          <xdr:row>7</xdr:row>
          <xdr:rowOff>0</xdr:rowOff>
        </xdr:to>
        <xdr:sp macro="" textlink="">
          <xdr:nvSpPr>
            <xdr:cNvPr id="8199" name="Drop Down 7" hidden="1">
              <a:extLst>
                <a:ext uri="{63B3BB69-23CF-44E3-9099-C40C66FF867C}">
                  <a14:compatExt spid="_x0000_s8199"/>
                </a:ext>
                <a:ext uri="{FF2B5EF4-FFF2-40B4-BE49-F238E27FC236}">
                  <a16:creationId xmlns:a16="http://schemas.microsoft.com/office/drawing/2014/main" id="{00000000-0008-0000-0800-000007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0</xdr:rowOff>
        </xdr:from>
        <xdr:to>
          <xdr:col>8</xdr:col>
          <xdr:colOff>0</xdr:colOff>
          <xdr:row>10</xdr:row>
          <xdr:rowOff>190500</xdr:rowOff>
        </xdr:to>
        <xdr:sp macro="" textlink="">
          <xdr:nvSpPr>
            <xdr:cNvPr id="8200" name="Drop Down 8" hidden="1">
              <a:extLst>
                <a:ext uri="{63B3BB69-23CF-44E3-9099-C40C66FF867C}">
                  <a14:compatExt spid="_x0000_s8200"/>
                </a:ext>
                <a:ext uri="{FF2B5EF4-FFF2-40B4-BE49-F238E27FC236}">
                  <a16:creationId xmlns:a16="http://schemas.microsoft.com/office/drawing/2014/main" id="{00000000-0008-0000-0800-000008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xdr:row>
          <xdr:rowOff>190500</xdr:rowOff>
        </xdr:from>
        <xdr:to>
          <xdr:col>8</xdr:col>
          <xdr:colOff>0</xdr:colOff>
          <xdr:row>19</xdr:row>
          <xdr:rowOff>0</xdr:rowOff>
        </xdr:to>
        <xdr:sp macro="" textlink="">
          <xdr:nvSpPr>
            <xdr:cNvPr id="8201" name="Drop Down 9" hidden="1">
              <a:extLst>
                <a:ext uri="{63B3BB69-23CF-44E3-9099-C40C66FF867C}">
                  <a14:compatExt spid="_x0000_s8201"/>
                </a:ext>
                <a:ext uri="{FF2B5EF4-FFF2-40B4-BE49-F238E27FC236}">
                  <a16:creationId xmlns:a16="http://schemas.microsoft.com/office/drawing/2014/main" id="{00000000-0008-0000-0800-000009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14</xdr:row>
          <xdr:rowOff>0</xdr:rowOff>
        </xdr:from>
        <xdr:to>
          <xdr:col>8</xdr:col>
          <xdr:colOff>0</xdr:colOff>
          <xdr:row>15</xdr:row>
          <xdr:rowOff>0</xdr:rowOff>
        </xdr:to>
        <xdr:sp macro="" textlink="">
          <xdr:nvSpPr>
            <xdr:cNvPr id="8202" name="Drop Down 10" hidden="1">
              <a:extLst>
                <a:ext uri="{63B3BB69-23CF-44E3-9099-C40C66FF867C}">
                  <a14:compatExt spid="_x0000_s8202"/>
                </a:ext>
                <a:ext uri="{FF2B5EF4-FFF2-40B4-BE49-F238E27FC236}">
                  <a16:creationId xmlns:a16="http://schemas.microsoft.com/office/drawing/2014/main" id="{00000000-0008-0000-0800-00000A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xdr:row>
          <xdr:rowOff>0</xdr:rowOff>
        </xdr:from>
        <xdr:to>
          <xdr:col>12</xdr:col>
          <xdr:colOff>609600</xdr:colOff>
          <xdr:row>2</xdr:row>
          <xdr:rowOff>180975</xdr:rowOff>
        </xdr:to>
        <xdr:sp macro="" textlink="">
          <xdr:nvSpPr>
            <xdr:cNvPr id="8203" name="Drop Down 11" hidden="1">
              <a:extLst>
                <a:ext uri="{63B3BB69-23CF-44E3-9099-C40C66FF867C}">
                  <a14:compatExt spid="_x0000_s8203"/>
                </a:ext>
                <a:ext uri="{FF2B5EF4-FFF2-40B4-BE49-F238E27FC236}">
                  <a16:creationId xmlns:a16="http://schemas.microsoft.com/office/drawing/2014/main" id="{00000000-0008-0000-0800-00000B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xdr:row>
          <xdr:rowOff>0</xdr:rowOff>
        </xdr:from>
        <xdr:to>
          <xdr:col>13</xdr:col>
          <xdr:colOff>0</xdr:colOff>
          <xdr:row>3</xdr:row>
          <xdr:rowOff>0</xdr:rowOff>
        </xdr:to>
        <xdr:sp macro="" textlink="">
          <xdr:nvSpPr>
            <xdr:cNvPr id="8204" name="Drop Down 12" hidden="1">
              <a:extLst>
                <a:ext uri="{63B3BB69-23CF-44E3-9099-C40C66FF867C}">
                  <a14:compatExt spid="_x0000_s8204"/>
                </a:ext>
                <a:ext uri="{FF2B5EF4-FFF2-40B4-BE49-F238E27FC236}">
                  <a16:creationId xmlns:a16="http://schemas.microsoft.com/office/drawing/2014/main" id="{00000000-0008-0000-0800-00000C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xdr:row>
          <xdr:rowOff>0</xdr:rowOff>
        </xdr:from>
        <xdr:to>
          <xdr:col>18</xdr:col>
          <xdr:colOff>0</xdr:colOff>
          <xdr:row>7</xdr:row>
          <xdr:rowOff>0</xdr:rowOff>
        </xdr:to>
        <xdr:sp macro="" textlink="">
          <xdr:nvSpPr>
            <xdr:cNvPr id="8205" name="Drop Down 13" hidden="1">
              <a:extLst>
                <a:ext uri="{63B3BB69-23CF-44E3-9099-C40C66FF867C}">
                  <a14:compatExt spid="_x0000_s8205"/>
                </a:ext>
                <a:ext uri="{FF2B5EF4-FFF2-40B4-BE49-F238E27FC236}">
                  <a16:creationId xmlns:a16="http://schemas.microsoft.com/office/drawing/2014/main" id="{00000000-0008-0000-0800-00000D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190500</xdr:rowOff>
        </xdr:from>
        <xdr:to>
          <xdr:col>18</xdr:col>
          <xdr:colOff>0</xdr:colOff>
          <xdr:row>10</xdr:row>
          <xdr:rowOff>190500</xdr:rowOff>
        </xdr:to>
        <xdr:sp macro="" textlink="">
          <xdr:nvSpPr>
            <xdr:cNvPr id="8206" name="Drop Down 14" hidden="1">
              <a:extLst>
                <a:ext uri="{63B3BB69-23CF-44E3-9099-C40C66FF867C}">
                  <a14:compatExt spid="_x0000_s8206"/>
                </a:ext>
                <a:ext uri="{FF2B5EF4-FFF2-40B4-BE49-F238E27FC236}">
                  <a16:creationId xmlns:a16="http://schemas.microsoft.com/office/drawing/2014/main" id="{00000000-0008-0000-0800-00000E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3</xdr:col>
          <xdr:colOff>0</xdr:colOff>
          <xdr:row>4</xdr:row>
          <xdr:rowOff>0</xdr:rowOff>
        </xdr:to>
        <xdr:sp macro="" textlink="">
          <xdr:nvSpPr>
            <xdr:cNvPr id="8207" name="Drop Down 15" hidden="1">
              <a:extLst>
                <a:ext uri="{63B3BB69-23CF-44E3-9099-C40C66FF867C}">
                  <a14:compatExt spid="_x0000_s8207"/>
                </a:ext>
                <a:ext uri="{FF2B5EF4-FFF2-40B4-BE49-F238E27FC236}">
                  <a16:creationId xmlns:a16="http://schemas.microsoft.com/office/drawing/2014/main" id="{00000000-0008-0000-0800-00000F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190500</xdr:rowOff>
        </xdr:from>
        <xdr:to>
          <xdr:col>3</xdr:col>
          <xdr:colOff>0</xdr:colOff>
          <xdr:row>8</xdr:row>
          <xdr:rowOff>0</xdr:rowOff>
        </xdr:to>
        <xdr:sp macro="" textlink="">
          <xdr:nvSpPr>
            <xdr:cNvPr id="8208" name="Drop Down 16" hidden="1">
              <a:extLst>
                <a:ext uri="{63B3BB69-23CF-44E3-9099-C40C66FF867C}">
                  <a14:compatExt spid="_x0000_s8208"/>
                </a:ext>
                <a:ext uri="{FF2B5EF4-FFF2-40B4-BE49-F238E27FC236}">
                  <a16:creationId xmlns:a16="http://schemas.microsoft.com/office/drawing/2014/main" id="{00000000-0008-0000-0800-000010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3</xdr:col>
          <xdr:colOff>0</xdr:colOff>
          <xdr:row>12</xdr:row>
          <xdr:rowOff>0</xdr:rowOff>
        </xdr:to>
        <xdr:sp macro="" textlink="">
          <xdr:nvSpPr>
            <xdr:cNvPr id="8209" name="Drop Down 17" hidden="1">
              <a:extLst>
                <a:ext uri="{63B3BB69-23CF-44E3-9099-C40C66FF867C}">
                  <a14:compatExt spid="_x0000_s8209"/>
                </a:ext>
                <a:ext uri="{FF2B5EF4-FFF2-40B4-BE49-F238E27FC236}">
                  <a16:creationId xmlns:a16="http://schemas.microsoft.com/office/drawing/2014/main" id="{00000000-0008-0000-0800-000011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190500</xdr:rowOff>
        </xdr:from>
        <xdr:to>
          <xdr:col>3</xdr:col>
          <xdr:colOff>0</xdr:colOff>
          <xdr:row>15</xdr:row>
          <xdr:rowOff>190500</xdr:rowOff>
        </xdr:to>
        <xdr:sp macro="" textlink="">
          <xdr:nvSpPr>
            <xdr:cNvPr id="8210" name="Drop Down 18" hidden="1">
              <a:extLst>
                <a:ext uri="{63B3BB69-23CF-44E3-9099-C40C66FF867C}">
                  <a14:compatExt spid="_x0000_s8210"/>
                </a:ext>
                <a:ext uri="{FF2B5EF4-FFF2-40B4-BE49-F238E27FC236}">
                  <a16:creationId xmlns:a16="http://schemas.microsoft.com/office/drawing/2014/main" id="{00000000-0008-0000-0800-000012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3</xdr:col>
          <xdr:colOff>0</xdr:colOff>
          <xdr:row>20</xdr:row>
          <xdr:rowOff>0</xdr:rowOff>
        </xdr:to>
        <xdr:sp macro="" textlink="">
          <xdr:nvSpPr>
            <xdr:cNvPr id="8211" name="Drop Down 19" hidden="1">
              <a:extLst>
                <a:ext uri="{63B3BB69-23CF-44E3-9099-C40C66FF867C}">
                  <a14:compatExt spid="_x0000_s8211"/>
                </a:ext>
                <a:ext uri="{FF2B5EF4-FFF2-40B4-BE49-F238E27FC236}">
                  <a16:creationId xmlns:a16="http://schemas.microsoft.com/office/drawing/2014/main" id="{00000000-0008-0000-0800-000013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xdr:row>
          <xdr:rowOff>190500</xdr:rowOff>
        </xdr:from>
        <xdr:to>
          <xdr:col>8</xdr:col>
          <xdr:colOff>0</xdr:colOff>
          <xdr:row>4</xdr:row>
          <xdr:rowOff>0</xdr:rowOff>
        </xdr:to>
        <xdr:sp macro="" textlink="">
          <xdr:nvSpPr>
            <xdr:cNvPr id="8212" name="Drop Down 20" hidden="1">
              <a:extLst>
                <a:ext uri="{63B3BB69-23CF-44E3-9099-C40C66FF867C}">
                  <a14:compatExt spid="_x0000_s8212"/>
                </a:ext>
                <a:ext uri="{FF2B5EF4-FFF2-40B4-BE49-F238E27FC236}">
                  <a16:creationId xmlns:a16="http://schemas.microsoft.com/office/drawing/2014/main" id="{00000000-0008-0000-0800-000014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xdr:row>
          <xdr:rowOff>0</xdr:rowOff>
        </xdr:from>
        <xdr:to>
          <xdr:col>8</xdr:col>
          <xdr:colOff>0</xdr:colOff>
          <xdr:row>8</xdr:row>
          <xdr:rowOff>0</xdr:rowOff>
        </xdr:to>
        <xdr:sp macro="" textlink="">
          <xdr:nvSpPr>
            <xdr:cNvPr id="8213" name="Drop Down 21" hidden="1">
              <a:extLst>
                <a:ext uri="{63B3BB69-23CF-44E3-9099-C40C66FF867C}">
                  <a14:compatExt spid="_x0000_s8213"/>
                </a:ext>
                <a:ext uri="{FF2B5EF4-FFF2-40B4-BE49-F238E27FC236}">
                  <a16:creationId xmlns:a16="http://schemas.microsoft.com/office/drawing/2014/main" id="{00000000-0008-0000-0800-000015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10</xdr:row>
          <xdr:rowOff>190500</xdr:rowOff>
        </xdr:from>
        <xdr:to>
          <xdr:col>8</xdr:col>
          <xdr:colOff>0</xdr:colOff>
          <xdr:row>12</xdr:row>
          <xdr:rowOff>0</xdr:rowOff>
        </xdr:to>
        <xdr:sp macro="" textlink="">
          <xdr:nvSpPr>
            <xdr:cNvPr id="8214" name="Drop Down 22" hidden="1">
              <a:extLst>
                <a:ext uri="{63B3BB69-23CF-44E3-9099-C40C66FF867C}">
                  <a14:compatExt spid="_x0000_s8214"/>
                </a:ext>
                <a:ext uri="{FF2B5EF4-FFF2-40B4-BE49-F238E27FC236}">
                  <a16:creationId xmlns:a16="http://schemas.microsoft.com/office/drawing/2014/main" id="{00000000-0008-0000-0800-000016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18</xdr:row>
          <xdr:rowOff>190500</xdr:rowOff>
        </xdr:from>
        <xdr:to>
          <xdr:col>8</xdr:col>
          <xdr:colOff>0</xdr:colOff>
          <xdr:row>20</xdr:row>
          <xdr:rowOff>0</xdr:rowOff>
        </xdr:to>
        <xdr:sp macro="" textlink="">
          <xdr:nvSpPr>
            <xdr:cNvPr id="8215" name="Drop Down 23" hidden="1">
              <a:extLst>
                <a:ext uri="{63B3BB69-23CF-44E3-9099-C40C66FF867C}">
                  <a14:compatExt spid="_x0000_s8215"/>
                </a:ext>
                <a:ext uri="{FF2B5EF4-FFF2-40B4-BE49-F238E27FC236}">
                  <a16:creationId xmlns:a16="http://schemas.microsoft.com/office/drawing/2014/main" id="{00000000-0008-0000-0800-000017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15</xdr:row>
          <xdr:rowOff>0</xdr:rowOff>
        </xdr:from>
        <xdr:to>
          <xdr:col>8</xdr:col>
          <xdr:colOff>0</xdr:colOff>
          <xdr:row>15</xdr:row>
          <xdr:rowOff>190500</xdr:rowOff>
        </xdr:to>
        <xdr:sp macro="" textlink="">
          <xdr:nvSpPr>
            <xdr:cNvPr id="8216" name="Drop Down 24" hidden="1">
              <a:extLst>
                <a:ext uri="{63B3BB69-23CF-44E3-9099-C40C66FF867C}">
                  <a14:compatExt spid="_x0000_s8216"/>
                </a:ext>
                <a:ext uri="{FF2B5EF4-FFF2-40B4-BE49-F238E27FC236}">
                  <a16:creationId xmlns:a16="http://schemas.microsoft.com/office/drawing/2014/main" id="{00000000-0008-0000-0800-000018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xdr:row>
          <xdr:rowOff>0</xdr:rowOff>
        </xdr:from>
        <xdr:to>
          <xdr:col>13</xdr:col>
          <xdr:colOff>0</xdr:colOff>
          <xdr:row>4</xdr:row>
          <xdr:rowOff>0</xdr:rowOff>
        </xdr:to>
        <xdr:sp macro="" textlink="">
          <xdr:nvSpPr>
            <xdr:cNvPr id="8217" name="Drop Down 25" hidden="1">
              <a:extLst>
                <a:ext uri="{63B3BB69-23CF-44E3-9099-C40C66FF867C}">
                  <a14:compatExt spid="_x0000_s8217"/>
                </a:ext>
                <a:ext uri="{FF2B5EF4-FFF2-40B4-BE49-F238E27FC236}">
                  <a16:creationId xmlns:a16="http://schemas.microsoft.com/office/drawing/2014/main" id="{00000000-0008-0000-0800-000019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xdr:row>
          <xdr:rowOff>0</xdr:rowOff>
        </xdr:from>
        <xdr:to>
          <xdr:col>13</xdr:col>
          <xdr:colOff>0</xdr:colOff>
          <xdr:row>8</xdr:row>
          <xdr:rowOff>0</xdr:rowOff>
        </xdr:to>
        <xdr:sp macro="" textlink="">
          <xdr:nvSpPr>
            <xdr:cNvPr id="8218" name="Drop Down 26" hidden="1">
              <a:extLst>
                <a:ext uri="{63B3BB69-23CF-44E3-9099-C40C66FF867C}">
                  <a14:compatExt spid="_x0000_s8218"/>
                </a:ext>
                <a:ext uri="{FF2B5EF4-FFF2-40B4-BE49-F238E27FC236}">
                  <a16:creationId xmlns:a16="http://schemas.microsoft.com/office/drawing/2014/main" id="{00000000-0008-0000-0800-00001A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190500</xdr:rowOff>
        </xdr:from>
        <xdr:to>
          <xdr:col>13</xdr:col>
          <xdr:colOff>0</xdr:colOff>
          <xdr:row>12</xdr:row>
          <xdr:rowOff>0</xdr:rowOff>
        </xdr:to>
        <xdr:sp macro="" textlink="">
          <xdr:nvSpPr>
            <xdr:cNvPr id="8219" name="Drop Down 27" hidden="1">
              <a:extLst>
                <a:ext uri="{63B3BB69-23CF-44E3-9099-C40C66FF867C}">
                  <a14:compatExt spid="_x0000_s8219"/>
                </a:ext>
                <a:ext uri="{FF2B5EF4-FFF2-40B4-BE49-F238E27FC236}">
                  <a16:creationId xmlns:a16="http://schemas.microsoft.com/office/drawing/2014/main" id="{00000000-0008-0000-0800-00001B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190500</xdr:rowOff>
        </xdr:from>
        <xdr:to>
          <xdr:col>13</xdr:col>
          <xdr:colOff>0</xdr:colOff>
          <xdr:row>15</xdr:row>
          <xdr:rowOff>190500</xdr:rowOff>
        </xdr:to>
        <xdr:sp macro="" textlink="">
          <xdr:nvSpPr>
            <xdr:cNvPr id="8220" name="Drop Down 28" hidden="1">
              <a:extLst>
                <a:ext uri="{63B3BB69-23CF-44E3-9099-C40C66FF867C}">
                  <a14:compatExt spid="_x0000_s8220"/>
                </a:ext>
                <a:ext uri="{FF2B5EF4-FFF2-40B4-BE49-F238E27FC236}">
                  <a16:creationId xmlns:a16="http://schemas.microsoft.com/office/drawing/2014/main" id="{00000000-0008-0000-0800-00001C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xdr:row>
          <xdr:rowOff>190500</xdr:rowOff>
        </xdr:from>
        <xdr:to>
          <xdr:col>13</xdr:col>
          <xdr:colOff>0</xdr:colOff>
          <xdr:row>20</xdr:row>
          <xdr:rowOff>0</xdr:rowOff>
        </xdr:to>
        <xdr:sp macro="" textlink="">
          <xdr:nvSpPr>
            <xdr:cNvPr id="8221" name="Drop Down 29" hidden="1">
              <a:extLst>
                <a:ext uri="{63B3BB69-23CF-44E3-9099-C40C66FF867C}">
                  <a14:compatExt spid="_x0000_s8221"/>
                </a:ext>
                <a:ext uri="{FF2B5EF4-FFF2-40B4-BE49-F238E27FC236}">
                  <a16:creationId xmlns:a16="http://schemas.microsoft.com/office/drawing/2014/main" id="{00000000-0008-0000-0800-00001D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7</xdr:row>
          <xdr:rowOff>0</xdr:rowOff>
        </xdr:from>
        <xdr:to>
          <xdr:col>18</xdr:col>
          <xdr:colOff>0</xdr:colOff>
          <xdr:row>8</xdr:row>
          <xdr:rowOff>0</xdr:rowOff>
        </xdr:to>
        <xdr:sp macro="" textlink="">
          <xdr:nvSpPr>
            <xdr:cNvPr id="8222" name="Drop Down 30" hidden="1">
              <a:extLst>
                <a:ext uri="{63B3BB69-23CF-44E3-9099-C40C66FF867C}">
                  <a14:compatExt spid="_x0000_s8222"/>
                </a:ext>
                <a:ext uri="{FF2B5EF4-FFF2-40B4-BE49-F238E27FC236}">
                  <a16:creationId xmlns:a16="http://schemas.microsoft.com/office/drawing/2014/main" id="{00000000-0008-0000-0800-00001E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10</xdr:row>
          <xdr:rowOff>190500</xdr:rowOff>
        </xdr:from>
        <xdr:to>
          <xdr:col>18</xdr:col>
          <xdr:colOff>0</xdr:colOff>
          <xdr:row>12</xdr:row>
          <xdr:rowOff>0</xdr:rowOff>
        </xdr:to>
        <xdr:sp macro="" textlink="">
          <xdr:nvSpPr>
            <xdr:cNvPr id="8223" name="Drop Down 31" hidden="1">
              <a:extLst>
                <a:ext uri="{63B3BB69-23CF-44E3-9099-C40C66FF867C}">
                  <a14:compatExt spid="_x0000_s8223"/>
                </a:ext>
                <a:ext uri="{FF2B5EF4-FFF2-40B4-BE49-F238E27FC236}">
                  <a16:creationId xmlns:a16="http://schemas.microsoft.com/office/drawing/2014/main" id="{00000000-0008-0000-0800-00001F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xdr:row>
          <xdr:rowOff>0</xdr:rowOff>
        </xdr:from>
        <xdr:to>
          <xdr:col>13</xdr:col>
          <xdr:colOff>0</xdr:colOff>
          <xdr:row>7</xdr:row>
          <xdr:rowOff>0</xdr:rowOff>
        </xdr:to>
        <xdr:sp macro="" textlink="">
          <xdr:nvSpPr>
            <xdr:cNvPr id="8224" name="Drop Down 32" hidden="1">
              <a:extLst>
                <a:ext uri="{63B3BB69-23CF-44E3-9099-C40C66FF867C}">
                  <a14:compatExt spid="_x0000_s8224"/>
                </a:ext>
                <a:ext uri="{FF2B5EF4-FFF2-40B4-BE49-F238E27FC236}">
                  <a16:creationId xmlns:a16="http://schemas.microsoft.com/office/drawing/2014/main" id="{00000000-0008-0000-0800-000020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190500</xdr:rowOff>
        </xdr:from>
        <xdr:to>
          <xdr:col>13</xdr:col>
          <xdr:colOff>0</xdr:colOff>
          <xdr:row>10</xdr:row>
          <xdr:rowOff>190500</xdr:rowOff>
        </xdr:to>
        <xdr:sp macro="" textlink="">
          <xdr:nvSpPr>
            <xdr:cNvPr id="8225" name="Drop Down 33" hidden="1">
              <a:extLst>
                <a:ext uri="{63B3BB69-23CF-44E3-9099-C40C66FF867C}">
                  <a14:compatExt spid="_x0000_s8225"/>
                </a:ext>
                <a:ext uri="{FF2B5EF4-FFF2-40B4-BE49-F238E27FC236}">
                  <a16:creationId xmlns:a16="http://schemas.microsoft.com/office/drawing/2014/main" id="{00000000-0008-0000-0800-000021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0</xdr:rowOff>
        </xdr:from>
        <xdr:to>
          <xdr:col>13</xdr:col>
          <xdr:colOff>0</xdr:colOff>
          <xdr:row>15</xdr:row>
          <xdr:rowOff>0</xdr:rowOff>
        </xdr:to>
        <xdr:sp macro="" textlink="">
          <xdr:nvSpPr>
            <xdr:cNvPr id="8226" name="Drop Down 34" hidden="1">
              <a:extLst>
                <a:ext uri="{63B3BB69-23CF-44E3-9099-C40C66FF867C}">
                  <a14:compatExt spid="_x0000_s8226"/>
                </a:ext>
                <a:ext uri="{FF2B5EF4-FFF2-40B4-BE49-F238E27FC236}">
                  <a16:creationId xmlns:a16="http://schemas.microsoft.com/office/drawing/2014/main" id="{00000000-0008-0000-0800-000022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xdr:row>
          <xdr:rowOff>0</xdr:rowOff>
        </xdr:from>
        <xdr:to>
          <xdr:col>13</xdr:col>
          <xdr:colOff>0</xdr:colOff>
          <xdr:row>19</xdr:row>
          <xdr:rowOff>0</xdr:rowOff>
        </xdr:to>
        <xdr:sp macro="" textlink="">
          <xdr:nvSpPr>
            <xdr:cNvPr id="8227" name="Drop Down 35" hidden="1">
              <a:extLst>
                <a:ext uri="{63B3BB69-23CF-44E3-9099-C40C66FF867C}">
                  <a14:compatExt spid="_x0000_s8227"/>
                </a:ext>
                <a:ext uri="{FF2B5EF4-FFF2-40B4-BE49-F238E27FC236}">
                  <a16:creationId xmlns:a16="http://schemas.microsoft.com/office/drawing/2014/main" id="{00000000-0008-0000-0800-000023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xdr:row>
          <xdr:rowOff>190500</xdr:rowOff>
        </xdr:from>
        <xdr:to>
          <xdr:col>18</xdr:col>
          <xdr:colOff>0</xdr:colOff>
          <xdr:row>4</xdr:row>
          <xdr:rowOff>0</xdr:rowOff>
        </xdr:to>
        <xdr:sp macro="" textlink="">
          <xdr:nvSpPr>
            <xdr:cNvPr id="8228" name="Drop Down 36" hidden="1">
              <a:extLst>
                <a:ext uri="{63B3BB69-23CF-44E3-9099-C40C66FF867C}">
                  <a14:compatExt spid="_x0000_s8228"/>
                </a:ext>
                <a:ext uri="{FF2B5EF4-FFF2-40B4-BE49-F238E27FC236}">
                  <a16:creationId xmlns:a16="http://schemas.microsoft.com/office/drawing/2014/main" id="{00000000-0008-0000-0800-000024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1</xdr:row>
          <xdr:rowOff>190500</xdr:rowOff>
        </xdr:from>
        <xdr:to>
          <xdr:col>18</xdr:col>
          <xdr:colOff>0</xdr:colOff>
          <xdr:row>3</xdr:row>
          <xdr:rowOff>0</xdr:rowOff>
        </xdr:to>
        <xdr:sp macro="" textlink="">
          <xdr:nvSpPr>
            <xdr:cNvPr id="8229" name="Drop Down 37" hidden="1">
              <a:extLst>
                <a:ext uri="{63B3BB69-23CF-44E3-9099-C40C66FF867C}">
                  <a14:compatExt spid="_x0000_s8229"/>
                </a:ext>
                <a:ext uri="{FF2B5EF4-FFF2-40B4-BE49-F238E27FC236}">
                  <a16:creationId xmlns:a16="http://schemas.microsoft.com/office/drawing/2014/main" id="{00000000-0008-0000-0800-000025200000}"/>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hyperlink" Target="https://inventory.powerzone.com/resources/friction-loss-calculator/%3Afr%3D45%3Afru%3DM3%2FHR%3Avc%3DWater%3Av%3D1%3Avu%3DCENTIPOISE%20%2F%20CP%3Asg%3D1%3Apl%3D1400%3Aplu%3DMeters%3Apid%3D4%3Apidu%3DInches%3Ahzc%3DPolyethylene%3Ahzfc%3D140%3Arh%3D0.007%3Arhu%3DMillimeters%3Arflu%3DHEAD%20M%3Arfvu%3DMeters%2FSec" TargetMode="External"/><Relationship Id="rId2" Type="http://schemas.openxmlformats.org/officeDocument/2006/relationships/hyperlink" Target="http://www.engineeringtoolbox.com/21_798.html" TargetMode="External"/><Relationship Id="rId1" Type="http://schemas.openxmlformats.org/officeDocument/2006/relationships/hyperlink" Target="http://www.engineeringtoolbox.com/hazen-williams-water-d_797.html"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www.unitconverters.net/flow-converter.html" TargetMode="External"/><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6.bin"/><Relationship Id="rId1" Type="http://schemas.openxmlformats.org/officeDocument/2006/relationships/hyperlink" Target="http://www.engineeringtoolbox.com/21_798.html"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http://www.engineeringtoolbox.com/21_798.html"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7.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88970-F05A-445A-A165-FBA3849602E8}">
  <dimension ref="B1:J36"/>
  <sheetViews>
    <sheetView showGridLines="0" showRowColHeaders="0" topLeftCell="A4" workbookViewId="0">
      <selection activeCell="C6" sqref="C6:C9"/>
    </sheetView>
  </sheetViews>
  <sheetFormatPr defaultRowHeight="15" x14ac:dyDescent="0.25"/>
  <cols>
    <col min="1" max="1" width="3.28515625" customWidth="1"/>
    <col min="2" max="2" width="45.42578125" customWidth="1"/>
    <col min="3" max="3" width="17.28515625" customWidth="1"/>
    <col min="4" max="4" width="22.140625" customWidth="1"/>
    <col min="5" max="5" width="22.42578125" customWidth="1"/>
    <col min="6" max="6" width="22.5703125" customWidth="1"/>
    <col min="7" max="7" width="34.140625" customWidth="1"/>
  </cols>
  <sheetData>
    <row r="1" spans="2:10" ht="8.25" customHeight="1" thickBot="1" x14ac:dyDescent="0.3"/>
    <row r="2" spans="2:10" ht="63.75" customHeight="1" thickTop="1" thickBot="1" x14ac:dyDescent="0.3">
      <c r="B2" s="429" t="s">
        <v>708</v>
      </c>
      <c r="C2" s="430"/>
      <c r="D2" s="430"/>
      <c r="E2" s="430"/>
      <c r="F2" s="430"/>
      <c r="G2" s="431"/>
    </row>
    <row r="3" spans="2:10" ht="63.75" customHeight="1" thickTop="1" thickBot="1" x14ac:dyDescent="0.3">
      <c r="B3" s="435" t="s">
        <v>709</v>
      </c>
      <c r="C3" s="436"/>
      <c r="D3" s="436"/>
      <c r="E3" s="436"/>
      <c r="F3" s="436"/>
      <c r="G3" s="437"/>
    </row>
    <row r="4" spans="2:10" ht="33.75" customHeight="1" thickTop="1" thickBot="1" x14ac:dyDescent="0.3">
      <c r="B4" s="726" t="s">
        <v>710</v>
      </c>
      <c r="C4" s="727"/>
      <c r="D4" s="728"/>
    </row>
    <row r="5" spans="2:10" ht="47.25" customHeight="1" thickTop="1" thickBot="1" x14ac:dyDescent="0.3">
      <c r="B5" s="447" t="s">
        <v>711</v>
      </c>
      <c r="C5" s="448"/>
      <c r="D5" s="449"/>
      <c r="E5" s="351"/>
      <c r="F5" s="351"/>
      <c r="G5" s="351"/>
      <c r="H5" s="351"/>
      <c r="I5" s="351"/>
      <c r="J5" s="351"/>
    </row>
    <row r="6" spans="2:10" ht="31.5" customHeight="1" thickTop="1" thickBot="1" x14ac:dyDescent="0.3">
      <c r="B6" s="413" t="s">
        <v>700</v>
      </c>
      <c r="C6" s="334">
        <v>60</v>
      </c>
      <c r="D6" s="414" t="s">
        <v>5</v>
      </c>
      <c r="E6" s="432" t="s">
        <v>586</v>
      </c>
      <c r="F6" s="433"/>
      <c r="G6" s="434"/>
      <c r="H6" s="351"/>
      <c r="I6" s="351"/>
      <c r="J6" s="351"/>
    </row>
    <row r="7" spans="2:10" ht="31.5" customHeight="1" thickTop="1" thickBot="1" x14ac:dyDescent="0.3">
      <c r="B7" s="413" t="s">
        <v>690</v>
      </c>
      <c r="C7" s="334">
        <v>1400</v>
      </c>
      <c r="D7" s="414" t="s">
        <v>358</v>
      </c>
      <c r="E7" s="432" t="s">
        <v>587</v>
      </c>
      <c r="F7" s="433"/>
      <c r="G7" s="434"/>
      <c r="H7" s="351"/>
      <c r="I7" s="351"/>
      <c r="J7" s="351"/>
    </row>
    <row r="8" spans="2:10" ht="31.5" customHeight="1" thickTop="1" thickBot="1" x14ac:dyDescent="0.3">
      <c r="B8" s="413" t="s">
        <v>701</v>
      </c>
      <c r="C8" s="334">
        <v>120</v>
      </c>
      <c r="D8" s="415" t="s">
        <v>572</v>
      </c>
      <c r="E8" s="432" t="s">
        <v>588</v>
      </c>
      <c r="F8" s="433"/>
      <c r="G8" s="434"/>
      <c r="H8" s="351"/>
      <c r="I8" s="351"/>
      <c r="J8" s="351"/>
    </row>
    <row r="9" spans="2:10" ht="31.5" customHeight="1" thickTop="1" thickBot="1" x14ac:dyDescent="0.3">
      <c r="B9" s="413" t="s">
        <v>691</v>
      </c>
      <c r="C9" s="334">
        <v>30</v>
      </c>
      <c r="D9" s="414" t="s">
        <v>564</v>
      </c>
      <c r="E9" s="432" t="s">
        <v>589</v>
      </c>
      <c r="F9" s="433"/>
      <c r="G9" s="434"/>
      <c r="H9" s="351"/>
      <c r="I9" s="351"/>
      <c r="J9" s="351"/>
    </row>
    <row r="10" spans="2:10" ht="31.5" customHeight="1" thickTop="1" thickBot="1" x14ac:dyDescent="0.3">
      <c r="B10" s="413" t="s">
        <v>702</v>
      </c>
      <c r="C10" s="335">
        <v>20000</v>
      </c>
      <c r="D10" s="414" t="s">
        <v>218</v>
      </c>
      <c r="E10" s="432" t="s">
        <v>590</v>
      </c>
      <c r="F10" s="433"/>
      <c r="G10" s="434"/>
      <c r="H10" s="351"/>
      <c r="I10" s="351"/>
      <c r="J10" s="351"/>
    </row>
    <row r="11" spans="2:10" ht="31.5" customHeight="1" thickTop="1" thickBot="1" x14ac:dyDescent="0.3">
      <c r="B11" s="413" t="s">
        <v>703</v>
      </c>
      <c r="C11" s="335">
        <v>60</v>
      </c>
      <c r="D11" s="414" t="s">
        <v>577</v>
      </c>
      <c r="E11" s="432" t="s">
        <v>591</v>
      </c>
      <c r="F11" s="433"/>
      <c r="G11" s="434"/>
      <c r="H11" s="351"/>
      <c r="I11" s="351"/>
      <c r="J11" s="351"/>
    </row>
    <row r="12" spans="2:10" ht="31.5" customHeight="1" thickTop="1" thickBot="1" x14ac:dyDescent="0.3">
      <c r="B12" s="413" t="s">
        <v>704</v>
      </c>
      <c r="C12" s="336">
        <v>0.65</v>
      </c>
      <c r="D12" s="414" t="s">
        <v>592</v>
      </c>
      <c r="E12" s="432" t="s">
        <v>593</v>
      </c>
      <c r="F12" s="433"/>
      <c r="G12" s="434"/>
      <c r="H12" s="351"/>
      <c r="I12" s="351"/>
      <c r="J12" s="351"/>
    </row>
    <row r="13" spans="2:10" ht="31.5" customHeight="1" thickTop="1" thickBot="1" x14ac:dyDescent="0.3">
      <c r="B13" s="413" t="s">
        <v>705</v>
      </c>
      <c r="C13" s="336">
        <v>30</v>
      </c>
      <c r="D13" s="414" t="s">
        <v>358</v>
      </c>
      <c r="E13" s="432" t="s">
        <v>594</v>
      </c>
      <c r="F13" s="433"/>
      <c r="G13" s="434"/>
      <c r="H13" s="351"/>
      <c r="I13" s="351"/>
      <c r="J13" s="351"/>
    </row>
    <row r="14" spans="2:10" ht="31.5" customHeight="1" thickTop="1" thickBot="1" x14ac:dyDescent="0.3">
      <c r="B14" s="413" t="s">
        <v>706</v>
      </c>
      <c r="C14" s="334">
        <f>'ضياعات الاحتكاك الطولية'!C19</f>
        <v>10.408576343449315</v>
      </c>
      <c r="D14" s="414" t="s">
        <v>564</v>
      </c>
      <c r="E14" s="432" t="s">
        <v>595</v>
      </c>
      <c r="F14" s="433"/>
      <c r="G14" s="434"/>
      <c r="H14" s="351"/>
      <c r="I14" s="351"/>
      <c r="J14" s="351"/>
    </row>
    <row r="15" spans="2:10" ht="31.5" customHeight="1" thickTop="1" thickBot="1" x14ac:dyDescent="0.3">
      <c r="B15" s="413" t="s">
        <v>707</v>
      </c>
      <c r="C15" s="334">
        <f>C14*0.1</f>
        <v>1.0408576343449316</v>
      </c>
      <c r="D15" s="414" t="s">
        <v>564</v>
      </c>
      <c r="E15" s="432" t="s">
        <v>596</v>
      </c>
      <c r="F15" s="433"/>
      <c r="G15" s="434"/>
      <c r="H15" s="351"/>
      <c r="I15" s="351"/>
      <c r="J15" s="351"/>
    </row>
    <row r="16" spans="2:10" ht="45.75" customHeight="1" thickTop="1" thickBot="1" x14ac:dyDescent="0.3">
      <c r="B16" s="325" t="s">
        <v>597</v>
      </c>
      <c r="C16" s="326">
        <f>C9+C14+C15</f>
        <v>41.449433977794243</v>
      </c>
      <c r="D16" s="352" t="s">
        <v>564</v>
      </c>
      <c r="E16" s="432" t="s">
        <v>196</v>
      </c>
      <c r="F16" s="433"/>
      <c r="G16" s="434"/>
      <c r="H16" s="351"/>
      <c r="I16" s="351"/>
      <c r="J16" s="351"/>
    </row>
    <row r="17" spans="2:7" ht="15.75" thickTop="1" x14ac:dyDescent="0.25"/>
    <row r="18" spans="2:7" ht="15.75" thickBot="1" x14ac:dyDescent="0.3"/>
    <row r="19" spans="2:7" ht="27.75" customHeight="1" thickTop="1" thickBot="1" x14ac:dyDescent="0.3">
      <c r="B19" s="450" t="s">
        <v>576</v>
      </c>
      <c r="C19" s="451"/>
      <c r="D19" s="452"/>
      <c r="E19" s="453" t="s">
        <v>598</v>
      </c>
      <c r="F19" s="454"/>
      <c r="G19" s="455"/>
    </row>
    <row r="20" spans="2:7" ht="24.75" customHeight="1" thickTop="1" x14ac:dyDescent="0.25">
      <c r="B20" s="419" t="s">
        <v>712</v>
      </c>
      <c r="C20" s="112">
        <f>C10</f>
        <v>20000</v>
      </c>
      <c r="D20" s="420" t="s">
        <v>33</v>
      </c>
    </row>
    <row r="21" spans="2:7" ht="24.75" customHeight="1" x14ac:dyDescent="0.25">
      <c r="B21" s="419" t="s">
        <v>713</v>
      </c>
      <c r="C21" s="112">
        <f>C11</f>
        <v>60</v>
      </c>
      <c r="D21" s="420" t="s">
        <v>35</v>
      </c>
    </row>
    <row r="22" spans="2:7" ht="24.75" customHeight="1" x14ac:dyDescent="0.25">
      <c r="B22" s="421" t="s">
        <v>714</v>
      </c>
      <c r="C22" s="422">
        <f>C20*C21</f>
        <v>1200000</v>
      </c>
      <c r="D22" s="157" t="s">
        <v>34</v>
      </c>
    </row>
    <row r="23" spans="2:7" ht="24.75" customHeight="1" x14ac:dyDescent="0.25">
      <c r="B23" s="421" t="s">
        <v>715</v>
      </c>
      <c r="C23" s="422">
        <f>C22/1000</f>
        <v>1200</v>
      </c>
      <c r="D23" s="157" t="s">
        <v>355</v>
      </c>
    </row>
    <row r="24" spans="2:7" ht="24.75" customHeight="1" x14ac:dyDescent="0.25">
      <c r="B24" s="419" t="s">
        <v>716</v>
      </c>
      <c r="C24" s="112">
        <f>C6</f>
        <v>60</v>
      </c>
      <c r="D24" s="420" t="s">
        <v>354</v>
      </c>
    </row>
    <row r="25" spans="2:7" ht="37.5" customHeight="1" thickBot="1" x14ac:dyDescent="0.3">
      <c r="B25" s="416" t="s">
        <v>717</v>
      </c>
      <c r="C25" s="417">
        <f>C23/C24</f>
        <v>20</v>
      </c>
      <c r="D25" s="418" t="s">
        <v>36</v>
      </c>
    </row>
    <row r="26" spans="2:7" ht="16.5" thickTop="1" thickBot="1" x14ac:dyDescent="0.3"/>
    <row r="27" spans="2:7" ht="27.75" customHeight="1" thickTop="1" x14ac:dyDescent="0.25">
      <c r="B27" s="444" t="s">
        <v>367</v>
      </c>
      <c r="C27" s="445"/>
      <c r="D27" s="446"/>
    </row>
    <row r="28" spans="2:7" ht="27.75" customHeight="1" x14ac:dyDescent="0.25">
      <c r="B28" s="29" t="s">
        <v>228</v>
      </c>
      <c r="C28" s="427">
        <v>1.9999999999999999E-6</v>
      </c>
      <c r="D28" s="113" t="s">
        <v>229</v>
      </c>
    </row>
    <row r="29" spans="2:7" ht="27.75" customHeight="1" x14ac:dyDescent="0.25">
      <c r="B29" s="63" t="s">
        <v>234</v>
      </c>
      <c r="C29" s="423">
        <f>C28*1000</f>
        <v>2E-3</v>
      </c>
      <c r="D29" s="424" t="s">
        <v>232</v>
      </c>
    </row>
    <row r="30" spans="2:7" ht="27.75" customHeight="1" x14ac:dyDescent="0.25">
      <c r="B30" s="63" t="s">
        <v>553</v>
      </c>
      <c r="C30" s="425">
        <f>C6</f>
        <v>60</v>
      </c>
      <c r="D30" s="424" t="s">
        <v>5</v>
      </c>
    </row>
    <row r="31" spans="2:7" ht="27.75" customHeight="1" x14ac:dyDescent="0.25">
      <c r="B31" s="63" t="s">
        <v>230</v>
      </c>
      <c r="C31" s="426">
        <f>C25</f>
        <v>20</v>
      </c>
      <c r="D31" s="424" t="s">
        <v>16</v>
      </c>
    </row>
    <row r="32" spans="2:7" ht="27.75" customHeight="1" thickBot="1" x14ac:dyDescent="0.3">
      <c r="B32" s="61" t="s">
        <v>231</v>
      </c>
      <c r="C32" s="428">
        <f>C29*C30*C31*30</f>
        <v>72</v>
      </c>
      <c r="D32" s="62" t="s">
        <v>233</v>
      </c>
    </row>
    <row r="33" spans="2:5" ht="16.5" thickTop="1" thickBot="1" x14ac:dyDescent="0.3"/>
    <row r="34" spans="2:5" ht="31.5" customHeight="1" thickTop="1" x14ac:dyDescent="0.25">
      <c r="B34" s="438" t="s">
        <v>95</v>
      </c>
      <c r="C34" s="439"/>
      <c r="D34" s="439"/>
      <c r="E34" s="440"/>
    </row>
    <row r="35" spans="2:5" ht="33.75" customHeight="1" thickBot="1" x14ac:dyDescent="0.3">
      <c r="B35" s="441"/>
      <c r="C35" s="442"/>
      <c r="D35" s="442"/>
      <c r="E35" s="443"/>
    </row>
    <row r="36" spans="2:5" ht="15.75" thickTop="1" x14ac:dyDescent="0.25"/>
  </sheetData>
  <mergeCells count="19">
    <mergeCell ref="B34:E35"/>
    <mergeCell ref="B27:D27"/>
    <mergeCell ref="B5:D5"/>
    <mergeCell ref="B19:D19"/>
    <mergeCell ref="E10:G10"/>
    <mergeCell ref="E11:G11"/>
    <mergeCell ref="E12:G12"/>
    <mergeCell ref="E13:G13"/>
    <mergeCell ref="E14:G14"/>
    <mergeCell ref="E15:G15"/>
    <mergeCell ref="E16:G16"/>
    <mergeCell ref="E19:G19"/>
    <mergeCell ref="B2:G2"/>
    <mergeCell ref="E6:G6"/>
    <mergeCell ref="E7:G7"/>
    <mergeCell ref="E8:G8"/>
    <mergeCell ref="E9:G9"/>
    <mergeCell ref="B3:G3"/>
    <mergeCell ref="B4:D4"/>
  </mergeCells>
  <pageMargins left="0.7" right="0.7" top="0.75" bottom="0.75" header="0.3" footer="0.3"/>
  <pageSetup orientation="portrait" horizontalDpi="1200" verticalDpi="1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15"/>
  <sheetViews>
    <sheetView showGridLines="0" showRowColHeaders="0" workbookViewId="0">
      <selection activeCell="D4" sqref="D4"/>
    </sheetView>
  </sheetViews>
  <sheetFormatPr defaultRowHeight="15" x14ac:dyDescent="0.25"/>
  <cols>
    <col min="2" max="2" width="23.42578125" customWidth="1"/>
    <col min="5" max="5" width="10.42578125" customWidth="1"/>
    <col min="6" max="6" width="13.7109375" customWidth="1"/>
  </cols>
  <sheetData>
    <row r="1" spans="2:6" ht="15.75" thickBot="1" x14ac:dyDescent="0.3"/>
    <row r="2" spans="2:6" ht="33.75" customHeight="1" thickTop="1" x14ac:dyDescent="0.25">
      <c r="B2" s="624" t="s">
        <v>256</v>
      </c>
      <c r="C2" s="625"/>
      <c r="D2" s="625"/>
      <c r="E2" s="625"/>
      <c r="F2" s="626"/>
    </row>
    <row r="3" spans="2:6" ht="31.5" x14ac:dyDescent="0.25">
      <c r="B3" s="262" t="s">
        <v>235</v>
      </c>
      <c r="C3" s="263" t="s">
        <v>200</v>
      </c>
      <c r="D3" s="263" t="s">
        <v>236</v>
      </c>
      <c r="E3" s="263" t="s">
        <v>237</v>
      </c>
      <c r="F3" s="264" t="s">
        <v>238</v>
      </c>
    </row>
    <row r="4" spans="2:6" ht="15.75" x14ac:dyDescent="0.25">
      <c r="B4" s="260" t="s">
        <v>239</v>
      </c>
      <c r="C4" s="261" t="s">
        <v>240</v>
      </c>
      <c r="D4" s="258">
        <v>1080</v>
      </c>
      <c r="E4" s="258">
        <v>0.75</v>
      </c>
      <c r="F4" s="259">
        <f>D4*E4</f>
        <v>810</v>
      </c>
    </row>
    <row r="5" spans="2:6" ht="15.75" x14ac:dyDescent="0.25">
      <c r="B5" s="260" t="s">
        <v>241</v>
      </c>
      <c r="C5" s="261" t="s">
        <v>242</v>
      </c>
      <c r="D5" s="258">
        <v>16</v>
      </c>
      <c r="E5" s="258">
        <v>4</v>
      </c>
      <c r="F5" s="259">
        <f t="shared" ref="F5:F12" si="0">D5*E5</f>
        <v>64</v>
      </c>
    </row>
    <row r="6" spans="2:6" ht="15.75" x14ac:dyDescent="0.25">
      <c r="B6" s="260" t="s">
        <v>243</v>
      </c>
      <c r="C6" s="261" t="s">
        <v>24</v>
      </c>
      <c r="D6" s="258">
        <v>4</v>
      </c>
      <c r="E6" s="258">
        <v>8</v>
      </c>
      <c r="F6" s="259">
        <f t="shared" si="0"/>
        <v>32</v>
      </c>
    </row>
    <row r="7" spans="2:6" ht="15.75" x14ac:dyDescent="0.25">
      <c r="B7" s="260" t="s">
        <v>244</v>
      </c>
      <c r="C7" s="261" t="s">
        <v>245</v>
      </c>
      <c r="D7" s="258">
        <v>1</v>
      </c>
      <c r="E7" s="258">
        <v>150</v>
      </c>
      <c r="F7" s="259">
        <v>50</v>
      </c>
    </row>
    <row r="8" spans="2:6" ht="15.75" x14ac:dyDescent="0.25">
      <c r="B8" s="260" t="s">
        <v>246</v>
      </c>
      <c r="C8" s="261" t="s">
        <v>247</v>
      </c>
      <c r="D8" s="258">
        <v>1</v>
      </c>
      <c r="E8" s="258">
        <v>125</v>
      </c>
      <c r="F8" s="259">
        <f t="shared" si="0"/>
        <v>125</v>
      </c>
    </row>
    <row r="9" spans="2:6" ht="15.75" x14ac:dyDescent="0.25">
      <c r="B9" s="260" t="s">
        <v>248</v>
      </c>
      <c r="C9" s="261" t="s">
        <v>247</v>
      </c>
      <c r="D9" s="258">
        <v>1</v>
      </c>
      <c r="E9" s="258">
        <v>125</v>
      </c>
      <c r="F9" s="259">
        <f t="shared" si="0"/>
        <v>125</v>
      </c>
    </row>
    <row r="10" spans="2:6" ht="31.5" x14ac:dyDescent="0.25">
      <c r="B10" s="260" t="s">
        <v>249</v>
      </c>
      <c r="C10" s="261" t="s">
        <v>250</v>
      </c>
      <c r="D10" s="258">
        <v>1</v>
      </c>
      <c r="E10" s="258">
        <v>125</v>
      </c>
      <c r="F10" s="259">
        <f t="shared" si="0"/>
        <v>125</v>
      </c>
    </row>
    <row r="11" spans="2:6" ht="15.75" x14ac:dyDescent="0.25">
      <c r="B11" s="260" t="s">
        <v>251</v>
      </c>
      <c r="C11" s="261" t="s">
        <v>252</v>
      </c>
      <c r="D11" s="258">
        <v>1</v>
      </c>
      <c r="E11" s="258">
        <v>150</v>
      </c>
      <c r="F11" s="259">
        <f t="shared" si="0"/>
        <v>150</v>
      </c>
    </row>
    <row r="12" spans="2:6" ht="15.75" x14ac:dyDescent="0.25">
      <c r="B12" s="260" t="s">
        <v>253</v>
      </c>
      <c r="C12" s="261" t="s">
        <v>245</v>
      </c>
      <c r="D12" s="258">
        <v>1</v>
      </c>
      <c r="E12" s="258">
        <v>50</v>
      </c>
      <c r="F12" s="259">
        <f t="shared" si="0"/>
        <v>50</v>
      </c>
    </row>
    <row r="13" spans="2:6" ht="15.75" x14ac:dyDescent="0.25">
      <c r="B13" s="260" t="s">
        <v>254</v>
      </c>
      <c r="C13" s="261" t="s">
        <v>245</v>
      </c>
      <c r="D13" s="258">
        <v>1</v>
      </c>
      <c r="E13" s="258">
        <v>50</v>
      </c>
      <c r="F13" s="259">
        <v>49</v>
      </c>
    </row>
    <row r="14" spans="2:6" ht="24.75" customHeight="1" thickBot="1" x14ac:dyDescent="0.3">
      <c r="B14" s="627" t="s">
        <v>255</v>
      </c>
      <c r="C14" s="628"/>
      <c r="D14" s="628"/>
      <c r="E14" s="628"/>
      <c r="F14" s="265">
        <f>SUM(F4:F13)</f>
        <v>1580</v>
      </c>
    </row>
    <row r="15" spans="2:6" ht="15.75" thickTop="1" x14ac:dyDescent="0.25"/>
  </sheetData>
  <mergeCells count="2">
    <mergeCell ref="B2:F2"/>
    <mergeCell ref="B14:E14"/>
  </mergeCell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5"/>
  <sheetViews>
    <sheetView showGridLines="0" showRowColHeaders="0" topLeftCell="D1" workbookViewId="0">
      <selection activeCell="L21" sqref="L21"/>
    </sheetView>
  </sheetViews>
  <sheetFormatPr defaultRowHeight="15" x14ac:dyDescent="0.25"/>
  <cols>
    <col min="1" max="1" width="20.5703125" customWidth="1"/>
    <col min="2" max="2" width="15.5703125" customWidth="1"/>
    <col min="3" max="3" width="19.28515625" customWidth="1"/>
    <col min="5" max="5" width="39.140625" style="2" customWidth="1"/>
    <col min="6" max="6" width="13.5703125" style="122" customWidth="1"/>
    <col min="7" max="7" width="17.85546875" customWidth="1"/>
  </cols>
  <sheetData>
    <row r="1" spans="1:7" ht="15.75" thickBot="1" x14ac:dyDescent="0.3"/>
    <row r="2" spans="1:7" ht="30.75" customHeight="1" thickTop="1" thickBot="1" x14ac:dyDescent="0.3">
      <c r="A2" s="629" t="s">
        <v>107</v>
      </c>
      <c r="B2" s="630"/>
      <c r="C2" s="631"/>
      <c r="E2" s="632" t="s">
        <v>365</v>
      </c>
      <c r="F2" s="633"/>
      <c r="G2" s="634"/>
    </row>
    <row r="3" spans="1:7" ht="20.100000000000001" customHeight="1" thickTop="1" thickBot="1" x14ac:dyDescent="0.3">
      <c r="A3" s="119" t="s">
        <v>28</v>
      </c>
      <c r="B3" s="120">
        <v>35000</v>
      </c>
      <c r="C3" s="121" t="s">
        <v>218</v>
      </c>
      <c r="E3" s="110" t="s">
        <v>215</v>
      </c>
      <c r="F3" s="123" t="s">
        <v>214</v>
      </c>
      <c r="G3" s="111" t="s">
        <v>200</v>
      </c>
    </row>
    <row r="4" spans="1:7" ht="20.100000000000001" customHeight="1" thickTop="1" x14ac:dyDescent="0.25">
      <c r="A4" s="35" t="s">
        <v>30</v>
      </c>
      <c r="B4" s="112">
        <v>30</v>
      </c>
      <c r="C4" s="113" t="s">
        <v>35</v>
      </c>
      <c r="E4" s="108" t="s">
        <v>366</v>
      </c>
      <c r="F4" s="124">
        <v>28</v>
      </c>
      <c r="G4" s="109" t="s">
        <v>216</v>
      </c>
    </row>
    <row r="5" spans="1:7" ht="20.100000000000001" customHeight="1" x14ac:dyDescent="0.25">
      <c r="A5" s="35"/>
      <c r="B5" s="112"/>
      <c r="C5" s="113"/>
      <c r="E5" s="106" t="s">
        <v>219</v>
      </c>
      <c r="F5" s="125">
        <v>100</v>
      </c>
      <c r="G5" s="107" t="s">
        <v>20</v>
      </c>
    </row>
    <row r="6" spans="1:7" ht="20.100000000000001" customHeight="1" x14ac:dyDescent="0.25">
      <c r="A6" s="35"/>
      <c r="B6" s="112"/>
      <c r="C6" s="113"/>
      <c r="E6" s="106" t="s">
        <v>220</v>
      </c>
      <c r="F6" s="125">
        <v>30</v>
      </c>
      <c r="G6" s="107" t="s">
        <v>3</v>
      </c>
    </row>
    <row r="7" spans="1:7" ht="20.100000000000001" customHeight="1" x14ac:dyDescent="0.25">
      <c r="A7" s="17" t="s">
        <v>31</v>
      </c>
      <c r="B7" s="114">
        <f>B3*B4</f>
        <v>1050000</v>
      </c>
      <c r="C7" s="115" t="s">
        <v>34</v>
      </c>
      <c r="E7" s="104" t="s">
        <v>204</v>
      </c>
      <c r="F7" s="126">
        <f>F6*0.2</f>
        <v>6</v>
      </c>
      <c r="G7" s="105" t="s">
        <v>201</v>
      </c>
    </row>
    <row r="8" spans="1:7" ht="20.100000000000001" customHeight="1" x14ac:dyDescent="0.25">
      <c r="A8" s="17" t="s">
        <v>32</v>
      </c>
      <c r="B8" s="114">
        <f>B7/1000</f>
        <v>1050</v>
      </c>
      <c r="C8" s="115" t="s">
        <v>9</v>
      </c>
      <c r="E8" s="106" t="s">
        <v>205</v>
      </c>
      <c r="F8" s="125">
        <v>0.7</v>
      </c>
      <c r="G8" s="107" t="s">
        <v>202</v>
      </c>
    </row>
    <row r="9" spans="1:7" ht="20.100000000000001" customHeight="1" x14ac:dyDescent="0.25">
      <c r="A9" s="35" t="s">
        <v>29</v>
      </c>
      <c r="B9" s="112">
        <v>70</v>
      </c>
      <c r="C9" s="113" t="s">
        <v>5</v>
      </c>
      <c r="E9" s="100" t="s">
        <v>199</v>
      </c>
      <c r="F9" s="127">
        <f>F7*F8</f>
        <v>4.1999999999999993</v>
      </c>
      <c r="G9" s="101" t="s">
        <v>213</v>
      </c>
    </row>
    <row r="10" spans="1:7" ht="20.100000000000001" customHeight="1" x14ac:dyDescent="0.25">
      <c r="A10" s="35"/>
      <c r="B10" s="112"/>
      <c r="C10" s="113"/>
      <c r="E10" s="100" t="s">
        <v>221</v>
      </c>
      <c r="F10" s="127">
        <v>500</v>
      </c>
      <c r="G10" s="101" t="s">
        <v>203</v>
      </c>
    </row>
    <row r="11" spans="1:7" ht="20.100000000000001" customHeight="1" x14ac:dyDescent="0.25">
      <c r="A11" s="17" t="s">
        <v>71</v>
      </c>
      <c r="B11" s="116">
        <f>B8/B9</f>
        <v>15</v>
      </c>
      <c r="C11" s="115" t="s">
        <v>36</v>
      </c>
      <c r="E11" s="100" t="s">
        <v>364</v>
      </c>
      <c r="F11" s="127">
        <f>(F9/F4)+(F10/(30*F4*F16))</f>
        <v>0.22440476190476188</v>
      </c>
      <c r="G11" s="101" t="s">
        <v>217</v>
      </c>
    </row>
    <row r="12" spans="1:7" ht="20.100000000000001" customHeight="1" x14ac:dyDescent="0.25">
      <c r="A12" s="17"/>
      <c r="B12" s="116"/>
      <c r="C12" s="115"/>
      <c r="E12" s="100"/>
      <c r="F12" s="127"/>
      <c r="G12" s="101"/>
    </row>
    <row r="13" spans="1:7" ht="20.100000000000001" customHeight="1" x14ac:dyDescent="0.25">
      <c r="A13" s="3"/>
      <c r="B13" s="117"/>
      <c r="C13" s="4"/>
      <c r="E13" s="106" t="s">
        <v>206</v>
      </c>
      <c r="F13" s="125">
        <v>1</v>
      </c>
      <c r="G13" s="107" t="s">
        <v>217</v>
      </c>
    </row>
    <row r="14" spans="1:7" ht="20.100000000000001" customHeight="1" x14ac:dyDescent="0.25">
      <c r="A14" s="3"/>
      <c r="B14" s="117"/>
      <c r="C14" s="4"/>
      <c r="E14" s="100" t="s">
        <v>207</v>
      </c>
      <c r="F14" s="127">
        <f>F13-F11</f>
        <v>0.77559523809523812</v>
      </c>
      <c r="G14" s="101" t="s">
        <v>203</v>
      </c>
    </row>
    <row r="15" spans="1:7" ht="20.100000000000001" customHeight="1" x14ac:dyDescent="0.25">
      <c r="A15" s="3"/>
      <c r="B15" s="117"/>
      <c r="C15" s="4"/>
      <c r="E15" s="100" t="s">
        <v>208</v>
      </c>
      <c r="F15" s="127">
        <f>F14*F4</f>
        <v>21.716666666666669</v>
      </c>
      <c r="G15" s="101" t="s">
        <v>213</v>
      </c>
    </row>
    <row r="16" spans="1:7" ht="20.100000000000001" customHeight="1" x14ac:dyDescent="0.25">
      <c r="A16" s="3"/>
      <c r="B16" s="117"/>
      <c r="C16" s="4"/>
      <c r="E16" s="106" t="s">
        <v>209</v>
      </c>
      <c r="F16" s="125">
        <v>8</v>
      </c>
      <c r="G16" s="107" t="s">
        <v>212</v>
      </c>
    </row>
    <row r="17" spans="1:7" ht="20.100000000000001" customHeight="1" thickBot="1" x14ac:dyDescent="0.3">
      <c r="A17" s="18"/>
      <c r="B17" s="118"/>
      <c r="C17" s="1"/>
      <c r="E17" s="102" t="s">
        <v>210</v>
      </c>
      <c r="F17" s="128">
        <f>F15*F16*30</f>
        <v>5212</v>
      </c>
      <c r="G17" s="103" t="s">
        <v>211</v>
      </c>
    </row>
    <row r="18" spans="1:7" ht="15.75" thickTop="1" x14ac:dyDescent="0.25"/>
    <row r="20" spans="1:7" ht="15.75" thickBot="1" x14ac:dyDescent="0.3"/>
    <row r="21" spans="1:7" ht="26.25" customHeight="1" thickTop="1" thickBot="1" x14ac:dyDescent="0.3">
      <c r="E21" s="635" t="s">
        <v>222</v>
      </c>
      <c r="F21" s="636"/>
      <c r="G21" s="637"/>
    </row>
    <row r="22" spans="1:7" ht="26.25" customHeight="1" thickTop="1" thickBot="1" x14ac:dyDescent="0.35">
      <c r="E22" s="129" t="s">
        <v>215</v>
      </c>
      <c r="F22" s="130" t="s">
        <v>214</v>
      </c>
      <c r="G22" s="131" t="s">
        <v>200</v>
      </c>
    </row>
    <row r="23" spans="1:7" ht="26.25" customHeight="1" thickTop="1" x14ac:dyDescent="0.3">
      <c r="E23" s="132" t="s">
        <v>227</v>
      </c>
      <c r="F23" s="133">
        <v>28</v>
      </c>
      <c r="G23" s="134" t="s">
        <v>225</v>
      </c>
    </row>
    <row r="24" spans="1:7" ht="26.25" customHeight="1" x14ac:dyDescent="0.3">
      <c r="E24" s="135" t="s">
        <v>219</v>
      </c>
      <c r="F24" s="136">
        <v>100</v>
      </c>
      <c r="G24" s="137" t="s">
        <v>20</v>
      </c>
    </row>
    <row r="25" spans="1:7" ht="26.25" customHeight="1" x14ac:dyDescent="0.3">
      <c r="E25" s="138" t="s">
        <v>221</v>
      </c>
      <c r="F25" s="139">
        <v>300</v>
      </c>
      <c r="G25" s="140" t="s">
        <v>203</v>
      </c>
    </row>
    <row r="26" spans="1:7" ht="26.25" customHeight="1" x14ac:dyDescent="0.3">
      <c r="E26" s="138" t="s">
        <v>223</v>
      </c>
      <c r="F26" s="139">
        <f>F25/(30*F30*F23)</f>
        <v>5.9523809523809521E-2</v>
      </c>
      <c r="G26" s="140" t="s">
        <v>226</v>
      </c>
    </row>
    <row r="27" spans="1:7" ht="26.25" customHeight="1" x14ac:dyDescent="0.3">
      <c r="E27" s="135" t="s">
        <v>224</v>
      </c>
      <c r="F27" s="136">
        <v>0.8</v>
      </c>
      <c r="G27" s="137" t="s">
        <v>226</v>
      </c>
    </row>
    <row r="28" spans="1:7" ht="26.25" customHeight="1" x14ac:dyDescent="0.3">
      <c r="E28" s="138" t="s">
        <v>207</v>
      </c>
      <c r="F28" s="139">
        <f>F27-F26</f>
        <v>0.74047619047619051</v>
      </c>
      <c r="G28" s="140" t="s">
        <v>203</v>
      </c>
    </row>
    <row r="29" spans="1:7" ht="26.25" customHeight="1" x14ac:dyDescent="0.3">
      <c r="E29" s="138" t="s">
        <v>208</v>
      </c>
      <c r="F29" s="139">
        <f>F28*F23</f>
        <v>20.733333333333334</v>
      </c>
      <c r="G29" s="140" t="s">
        <v>213</v>
      </c>
    </row>
    <row r="30" spans="1:7" ht="26.25" customHeight="1" x14ac:dyDescent="0.3">
      <c r="E30" s="135" t="s">
        <v>209</v>
      </c>
      <c r="F30" s="136">
        <v>6</v>
      </c>
      <c r="G30" s="137" t="s">
        <v>212</v>
      </c>
    </row>
    <row r="31" spans="1:7" ht="26.25" customHeight="1" thickBot="1" x14ac:dyDescent="0.35">
      <c r="E31" s="141" t="s">
        <v>210</v>
      </c>
      <c r="F31" s="142">
        <f>F29*F30*30</f>
        <v>3732</v>
      </c>
      <c r="G31" s="143" t="s">
        <v>211</v>
      </c>
    </row>
    <row r="32" spans="1:7" ht="16.5" thickTop="1" thickBot="1" x14ac:dyDescent="0.3"/>
    <row r="33" spans="5:8" ht="24" customHeight="1" thickTop="1" x14ac:dyDescent="0.25">
      <c r="E33" s="438" t="s">
        <v>95</v>
      </c>
      <c r="F33" s="439"/>
      <c r="G33" s="439"/>
      <c r="H33" s="440"/>
    </row>
    <row r="34" spans="5:8" ht="29.25" customHeight="1" thickBot="1" x14ac:dyDescent="0.3">
      <c r="E34" s="441"/>
      <c r="F34" s="442"/>
      <c r="G34" s="442"/>
      <c r="H34" s="443"/>
    </row>
    <row r="35" spans="5:8" ht="15.75" thickTop="1" x14ac:dyDescent="0.25"/>
  </sheetData>
  <mergeCells count="4">
    <mergeCell ref="A2:C2"/>
    <mergeCell ref="E2:G2"/>
    <mergeCell ref="E21:G21"/>
    <mergeCell ref="E33:H3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E23"/>
  <sheetViews>
    <sheetView showGridLines="0" showRowColHeaders="0" workbookViewId="0">
      <selection activeCell="B2" sqref="B2:D2"/>
    </sheetView>
  </sheetViews>
  <sheetFormatPr defaultRowHeight="15" x14ac:dyDescent="0.25"/>
  <cols>
    <col min="1" max="1" width="15" customWidth="1"/>
    <col min="2" max="2" width="27" customWidth="1"/>
    <col min="3" max="3" width="28.85546875" customWidth="1"/>
    <col min="4" max="4" width="21.5703125" style="2" customWidth="1"/>
    <col min="5" max="5" width="22.140625" style="2" customWidth="1"/>
  </cols>
  <sheetData>
    <row r="1" spans="2:5" ht="14.25" customHeight="1" thickBot="1" x14ac:dyDescent="0.3"/>
    <row r="2" spans="2:5" ht="39" customHeight="1" thickTop="1" thickBot="1" x14ac:dyDescent="0.3">
      <c r="B2" s="638" t="s">
        <v>106</v>
      </c>
      <c r="C2" s="639"/>
      <c r="D2" s="640"/>
    </row>
    <row r="3" spans="2:5" ht="29.25" customHeight="1" thickTop="1" thickBot="1" x14ac:dyDescent="0.3">
      <c r="B3" s="66" t="s">
        <v>37</v>
      </c>
      <c r="C3" s="67" t="s">
        <v>38</v>
      </c>
      <c r="D3" s="68" t="s">
        <v>115</v>
      </c>
    </row>
    <row r="4" spans="2:5" ht="17.25" thickTop="1" thickBot="1" x14ac:dyDescent="0.3">
      <c r="B4" s="37" t="s">
        <v>39</v>
      </c>
      <c r="C4" s="46" t="s">
        <v>40</v>
      </c>
      <c r="D4" s="48" t="s">
        <v>96</v>
      </c>
    </row>
    <row r="5" spans="2:5" ht="17.25" thickTop="1" thickBot="1" x14ac:dyDescent="0.3">
      <c r="B5" s="37" t="s">
        <v>41</v>
      </c>
      <c r="C5" s="46" t="s">
        <v>42</v>
      </c>
      <c r="D5" s="48" t="s">
        <v>97</v>
      </c>
    </row>
    <row r="6" spans="2:5" ht="17.25" thickTop="1" thickBot="1" x14ac:dyDescent="0.3">
      <c r="B6" s="37" t="s">
        <v>43</v>
      </c>
      <c r="C6" s="46" t="s">
        <v>44</v>
      </c>
      <c r="D6" s="48" t="s">
        <v>98</v>
      </c>
    </row>
    <row r="7" spans="2:5" ht="17.25" thickTop="1" thickBot="1" x14ac:dyDescent="0.3">
      <c r="B7" s="37" t="s">
        <v>45</v>
      </c>
      <c r="C7" s="46" t="s">
        <v>46</v>
      </c>
      <c r="D7" s="48" t="s">
        <v>99</v>
      </c>
    </row>
    <row r="8" spans="2:5" ht="17.25" thickTop="1" thickBot="1" x14ac:dyDescent="0.3">
      <c r="B8" s="38" t="s">
        <v>47</v>
      </c>
      <c r="C8" s="47" t="s">
        <v>48</v>
      </c>
      <c r="D8" s="48" t="s">
        <v>100</v>
      </c>
    </row>
    <row r="9" spans="2:5" ht="16.5" thickTop="1" thickBot="1" x14ac:dyDescent="0.3"/>
    <row r="10" spans="2:5" ht="20.25" thickTop="1" thickBot="1" x14ac:dyDescent="0.3">
      <c r="B10" s="53"/>
      <c r="C10" s="49" t="s">
        <v>52</v>
      </c>
      <c r="D10" s="50" t="s">
        <v>53</v>
      </c>
    </row>
    <row r="11" spans="2:5" ht="17.25" thickTop="1" thickBot="1" x14ac:dyDescent="0.3">
      <c r="B11" s="54" t="s">
        <v>75</v>
      </c>
      <c r="C11" s="12">
        <v>220</v>
      </c>
      <c r="D11" s="30">
        <v>400</v>
      </c>
      <c r="E11" s="642" t="s">
        <v>104</v>
      </c>
    </row>
    <row r="12" spans="2:5" ht="17.25" thickTop="1" thickBot="1" x14ac:dyDescent="0.3">
      <c r="B12" s="54" t="s">
        <v>74</v>
      </c>
      <c r="C12" s="12">
        <v>220</v>
      </c>
      <c r="D12" s="30">
        <v>380</v>
      </c>
      <c r="E12" s="642"/>
    </row>
    <row r="13" spans="2:5" ht="17.25" thickTop="1" thickBot="1" x14ac:dyDescent="0.3">
      <c r="B13" s="54" t="s">
        <v>49</v>
      </c>
      <c r="C13" s="12">
        <v>0.8</v>
      </c>
      <c r="D13" s="30">
        <v>0.8</v>
      </c>
      <c r="E13" s="642"/>
    </row>
    <row r="14" spans="2:5" ht="27" customHeight="1" thickTop="1" thickBot="1" x14ac:dyDescent="0.3">
      <c r="B14" s="54" t="s">
        <v>50</v>
      </c>
      <c r="C14" s="10">
        <v>1</v>
      </c>
      <c r="D14" s="32">
        <v>1.732</v>
      </c>
      <c r="E14" s="58" t="s">
        <v>105</v>
      </c>
    </row>
    <row r="15" spans="2:5" ht="27.75" customHeight="1" thickTop="1" thickBot="1" x14ac:dyDescent="0.3">
      <c r="B15" s="55" t="s">
        <v>51</v>
      </c>
      <c r="C15" s="10">
        <f>(C11*C13*C12*C14)/1000</f>
        <v>38.72</v>
      </c>
      <c r="D15" s="32">
        <f>(D11*D13*D12*D14)/1000</f>
        <v>210.61120000000003</v>
      </c>
      <c r="E15" s="641" t="s">
        <v>101</v>
      </c>
    </row>
    <row r="16" spans="2:5" ht="23.25" customHeight="1" thickTop="1" thickBot="1" x14ac:dyDescent="0.3">
      <c r="B16" s="54" t="s">
        <v>76</v>
      </c>
      <c r="C16" s="10">
        <f>(C11*C12*C14)/1000</f>
        <v>48.4</v>
      </c>
      <c r="D16" s="32">
        <f>(D11*D12*D14)/1000</f>
        <v>263.26400000000001</v>
      </c>
      <c r="E16" s="641"/>
    </row>
    <row r="17" spans="2:5" ht="17.25" thickTop="1" thickBot="1" x14ac:dyDescent="0.3">
      <c r="B17" s="54" t="s">
        <v>4</v>
      </c>
      <c r="C17" s="10">
        <f>C15*1.3404825</f>
        <v>51.903482400000001</v>
      </c>
      <c r="D17" s="32">
        <f>D15*1.3404825</f>
        <v>282.32062790400005</v>
      </c>
      <c r="E17" s="641"/>
    </row>
    <row r="18" spans="2:5" ht="29.25" customHeight="1" thickTop="1" thickBot="1" x14ac:dyDescent="0.3">
      <c r="B18" s="56" t="s">
        <v>54</v>
      </c>
      <c r="C18" s="51">
        <f>C17*2</f>
        <v>103.8069648</v>
      </c>
      <c r="D18" s="52">
        <f>D17*2</f>
        <v>564.6412558080001</v>
      </c>
      <c r="E18" s="58" t="s">
        <v>102</v>
      </c>
    </row>
    <row r="19" spans="2:5" ht="26.25" customHeight="1" thickTop="1" thickBot="1" x14ac:dyDescent="0.3">
      <c r="B19" s="57" t="s">
        <v>55</v>
      </c>
      <c r="C19" s="59">
        <f>C18*4.545454</f>
        <v>471.84978337801925</v>
      </c>
      <c r="D19" s="60">
        <f>D18*1.521143</f>
        <v>858.90009378354864</v>
      </c>
      <c r="E19" s="58" t="s">
        <v>103</v>
      </c>
    </row>
    <row r="20" spans="2:5" ht="16.5" thickTop="1" thickBot="1" x14ac:dyDescent="0.3"/>
    <row r="21" spans="2:5" ht="22.5" customHeight="1" thickTop="1" x14ac:dyDescent="0.25">
      <c r="B21" s="438" t="s">
        <v>95</v>
      </c>
      <c r="C21" s="439"/>
      <c r="D21" s="439"/>
      <c r="E21" s="440"/>
    </row>
    <row r="22" spans="2:5" ht="27" customHeight="1" thickBot="1" x14ac:dyDescent="0.3">
      <c r="B22" s="441"/>
      <c r="C22" s="442"/>
      <c r="D22" s="442"/>
      <c r="E22" s="443"/>
    </row>
    <row r="23" spans="2:5" ht="15.75" thickTop="1" x14ac:dyDescent="0.25"/>
  </sheetData>
  <mergeCells count="4">
    <mergeCell ref="B2:D2"/>
    <mergeCell ref="E15:E17"/>
    <mergeCell ref="E11:E13"/>
    <mergeCell ref="B21:E22"/>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D09A8-EC84-4D89-884B-E0C66859385F}">
  <dimension ref="B1:E42"/>
  <sheetViews>
    <sheetView showGridLines="0" showRowColHeaders="0" tabSelected="1" zoomScale="115" zoomScaleNormal="115" workbookViewId="0">
      <selection activeCell="K12" sqref="K12"/>
    </sheetView>
  </sheetViews>
  <sheetFormatPr defaultRowHeight="15" x14ac:dyDescent="0.25"/>
  <cols>
    <col min="2" max="2" width="41.28515625" customWidth="1"/>
    <col min="3" max="3" width="17" customWidth="1"/>
    <col min="4" max="4" width="16.5703125" customWidth="1"/>
  </cols>
  <sheetData>
    <row r="1" spans="2:5" ht="15.75" thickBot="1" x14ac:dyDescent="0.3"/>
    <row r="2" spans="2:5" ht="15.75" customHeight="1" thickTop="1" x14ac:dyDescent="0.25">
      <c r="B2" s="525" t="s">
        <v>95</v>
      </c>
      <c r="C2" s="526"/>
      <c r="D2" s="527"/>
    </row>
    <row r="3" spans="2:5" ht="24" customHeight="1" thickBot="1" x14ac:dyDescent="0.3">
      <c r="B3" s="528"/>
      <c r="C3" s="529"/>
      <c r="D3" s="530"/>
    </row>
    <row r="4" spans="2:5" ht="16.5" thickTop="1" thickBot="1" x14ac:dyDescent="0.3"/>
    <row r="5" spans="2:5" ht="34.5" customHeight="1" thickTop="1" x14ac:dyDescent="0.25">
      <c r="B5" s="521" t="s">
        <v>258</v>
      </c>
      <c r="C5" s="522"/>
      <c r="D5" s="523"/>
      <c r="E5" s="2"/>
    </row>
    <row r="6" spans="2:5" ht="30" customHeight="1" x14ac:dyDescent="0.25">
      <c r="B6" s="29" t="s">
        <v>194</v>
      </c>
      <c r="C6" s="12">
        <v>120</v>
      </c>
      <c r="D6" s="30" t="s">
        <v>20</v>
      </c>
    </row>
    <row r="7" spans="2:5" ht="30" customHeight="1" x14ac:dyDescent="0.25">
      <c r="B7" s="29" t="s">
        <v>21</v>
      </c>
      <c r="C7" s="12">
        <v>60</v>
      </c>
      <c r="D7" s="30" t="s">
        <v>5</v>
      </c>
    </row>
    <row r="8" spans="2:5" ht="30" customHeight="1" x14ac:dyDescent="0.25">
      <c r="B8" s="31" t="s">
        <v>8</v>
      </c>
      <c r="C8" s="10">
        <f>20*C7</f>
        <v>1200</v>
      </c>
      <c r="D8" s="32" t="s">
        <v>9</v>
      </c>
    </row>
    <row r="9" spans="2:5" ht="30" customHeight="1" x14ac:dyDescent="0.25">
      <c r="B9" s="31" t="s">
        <v>2</v>
      </c>
      <c r="C9" s="10">
        <f>C6*C7/(102*3.6*0.7)</f>
        <v>28.011204481792721</v>
      </c>
      <c r="D9" s="32" t="s">
        <v>275</v>
      </c>
    </row>
    <row r="10" spans="2:5" ht="30" customHeight="1" x14ac:dyDescent="0.25">
      <c r="B10" s="31" t="s">
        <v>0</v>
      </c>
      <c r="C10" s="10">
        <f>1.1*C6*C7/(75*3.6*0.7)</f>
        <v>41.904761904761905</v>
      </c>
      <c r="D10" s="32" t="s">
        <v>4</v>
      </c>
    </row>
    <row r="11" spans="2:5" ht="30" customHeight="1" x14ac:dyDescent="0.25">
      <c r="B11" s="161" t="s">
        <v>1</v>
      </c>
      <c r="C11" s="162">
        <f>1.1*C6*C7/(102*3.6*0.7)</f>
        <v>30.812324929971993</v>
      </c>
      <c r="D11" s="163" t="s">
        <v>275</v>
      </c>
    </row>
    <row r="12" spans="2:5" ht="30" customHeight="1" thickBot="1" x14ac:dyDescent="0.3">
      <c r="B12" s="33" t="s">
        <v>6</v>
      </c>
      <c r="C12" s="165">
        <f>2*C11/0.8</f>
        <v>77.030812324929983</v>
      </c>
      <c r="D12" s="34" t="s">
        <v>274</v>
      </c>
    </row>
    <row r="13" spans="2:5" ht="30" customHeight="1" thickTop="1" thickBot="1" x14ac:dyDescent="0.3">
      <c r="B13" s="145"/>
      <c r="C13" s="145"/>
      <c r="D13" s="145"/>
    </row>
    <row r="14" spans="2:5" ht="29.25" customHeight="1" thickTop="1" x14ac:dyDescent="0.25">
      <c r="B14" s="521" t="s">
        <v>257</v>
      </c>
      <c r="C14" s="652"/>
      <c r="D14" s="653"/>
    </row>
    <row r="15" spans="2:5" ht="30" customHeight="1" x14ac:dyDescent="0.25">
      <c r="B15" s="29" t="s">
        <v>6</v>
      </c>
      <c r="C15" s="146">
        <f>C11/0.8</f>
        <v>38.515406162464991</v>
      </c>
      <c r="D15" s="30" t="s">
        <v>274</v>
      </c>
    </row>
    <row r="16" spans="2:5" ht="24.75" customHeight="1" x14ac:dyDescent="0.25">
      <c r="B16" s="31" t="s">
        <v>14</v>
      </c>
      <c r="C16" s="147">
        <f>C15*0.8*0.25</f>
        <v>7.7030812324929983</v>
      </c>
      <c r="D16" s="32" t="s">
        <v>273</v>
      </c>
    </row>
    <row r="17" spans="2:4" ht="24.75" customHeight="1" x14ac:dyDescent="0.25">
      <c r="B17" s="35" t="s">
        <v>15</v>
      </c>
      <c r="C17" s="148">
        <v>6</v>
      </c>
      <c r="D17" s="30" t="s">
        <v>16</v>
      </c>
    </row>
    <row r="18" spans="2:4" ht="24.75" customHeight="1" x14ac:dyDescent="0.25">
      <c r="B18" s="31" t="s">
        <v>13</v>
      </c>
      <c r="C18" s="149">
        <f>C16*C17</f>
        <v>46.21848739495799</v>
      </c>
      <c r="D18" s="32" t="s">
        <v>17</v>
      </c>
    </row>
    <row r="19" spans="2:4" ht="24.75" customHeight="1" x14ac:dyDescent="0.25">
      <c r="B19" s="31" t="s">
        <v>18</v>
      </c>
      <c r="C19" s="149">
        <f>C18*30</f>
        <v>1386.5546218487398</v>
      </c>
      <c r="D19" s="32" t="s">
        <v>19</v>
      </c>
    </row>
    <row r="20" spans="2:4" ht="24.75" customHeight="1" x14ac:dyDescent="0.25">
      <c r="B20" s="29" t="s">
        <v>26</v>
      </c>
      <c r="C20" s="146">
        <v>0.7</v>
      </c>
      <c r="D20" s="113" t="s">
        <v>25</v>
      </c>
    </row>
    <row r="21" spans="2:4" ht="24.75" customHeight="1" x14ac:dyDescent="0.25">
      <c r="B21" s="155" t="s">
        <v>27</v>
      </c>
      <c r="C21" s="156">
        <f>C19*C20</f>
        <v>970.58823529411779</v>
      </c>
      <c r="D21" s="157" t="s">
        <v>25</v>
      </c>
    </row>
    <row r="22" spans="2:4" ht="24.75" customHeight="1" x14ac:dyDescent="0.25">
      <c r="B22" s="166" t="s">
        <v>276</v>
      </c>
      <c r="C22" s="156">
        <f>C21*0.1</f>
        <v>97.058823529411782</v>
      </c>
      <c r="D22" s="157" t="s">
        <v>25</v>
      </c>
    </row>
    <row r="23" spans="2:4" ht="24.75" customHeight="1" thickBot="1" x14ac:dyDescent="0.3">
      <c r="B23" s="164" t="s">
        <v>260</v>
      </c>
      <c r="C23" s="159">
        <f>(C21+C22)*12</f>
        <v>12811.764705882353</v>
      </c>
      <c r="D23" s="160" t="s">
        <v>25</v>
      </c>
    </row>
    <row r="24" spans="2:4" ht="24.75" customHeight="1" thickTop="1" thickBot="1" x14ac:dyDescent="0.3"/>
    <row r="25" spans="2:4" ht="24.75" customHeight="1" thickTop="1" x14ac:dyDescent="0.25">
      <c r="B25" s="524" t="s">
        <v>259</v>
      </c>
      <c r="C25" s="654"/>
      <c r="D25" s="655"/>
    </row>
    <row r="26" spans="2:4" ht="24.75" customHeight="1" x14ac:dyDescent="0.3">
      <c r="B26" s="28" t="s">
        <v>261</v>
      </c>
      <c r="C26" s="144">
        <f>C11*5</f>
        <v>154.06162464985997</v>
      </c>
      <c r="D26" s="36" t="s">
        <v>272</v>
      </c>
    </row>
    <row r="27" spans="2:4" ht="24.75" customHeight="1" x14ac:dyDescent="0.3">
      <c r="B27" s="28" t="s">
        <v>262</v>
      </c>
      <c r="C27" s="136">
        <v>0.2</v>
      </c>
      <c r="D27" s="36" t="s">
        <v>275</v>
      </c>
    </row>
    <row r="28" spans="2:4" ht="24.75" customHeight="1" x14ac:dyDescent="0.3">
      <c r="B28" s="69" t="s">
        <v>263</v>
      </c>
      <c r="C28" s="158">
        <f>C27*C26</f>
        <v>30.812324929971993</v>
      </c>
      <c r="D28" s="70" t="s">
        <v>275</v>
      </c>
    </row>
    <row r="29" spans="2:4" ht="24.75" customHeight="1" x14ac:dyDescent="0.3">
      <c r="B29" s="28" t="s">
        <v>264</v>
      </c>
      <c r="C29" s="136">
        <v>85</v>
      </c>
      <c r="D29" s="36" t="s">
        <v>25</v>
      </c>
    </row>
    <row r="30" spans="2:4" s="152" customFormat="1" ht="24" customHeight="1" x14ac:dyDescent="0.3">
      <c r="B30" s="150" t="s">
        <v>265</v>
      </c>
      <c r="C30" s="153">
        <f>C26*C29</f>
        <v>13095.238095238097</v>
      </c>
      <c r="D30" s="151" t="s">
        <v>25</v>
      </c>
    </row>
    <row r="31" spans="2:4" ht="15.75" customHeight="1" x14ac:dyDescent="0.3">
      <c r="B31" s="28" t="s">
        <v>266</v>
      </c>
      <c r="C31" s="136">
        <v>0</v>
      </c>
      <c r="D31" s="36" t="s">
        <v>272</v>
      </c>
    </row>
    <row r="32" spans="2:4" ht="18.75" x14ac:dyDescent="0.3">
      <c r="B32" s="28" t="s">
        <v>267</v>
      </c>
      <c r="C32" s="136">
        <v>150</v>
      </c>
      <c r="D32" s="36" t="s">
        <v>25</v>
      </c>
    </row>
    <row r="33" spans="2:4" ht="18.75" x14ac:dyDescent="0.3">
      <c r="B33" s="14" t="s">
        <v>268</v>
      </c>
      <c r="C33" s="139">
        <f>C32*C31</f>
        <v>0</v>
      </c>
      <c r="D33" s="15" t="s">
        <v>25</v>
      </c>
    </row>
    <row r="34" spans="2:4" ht="18.75" x14ac:dyDescent="0.3">
      <c r="B34" s="14" t="s">
        <v>269</v>
      </c>
      <c r="C34" s="139">
        <f>C28*50</f>
        <v>1540.6162464985996</v>
      </c>
      <c r="D34" s="15" t="s">
        <v>25</v>
      </c>
    </row>
    <row r="35" spans="2:4" ht="18.75" x14ac:dyDescent="0.3">
      <c r="B35" s="14" t="s">
        <v>279</v>
      </c>
      <c r="C35" s="139">
        <f>C26*15</f>
        <v>2310.9243697478996</v>
      </c>
      <c r="D35" s="15" t="s">
        <v>25</v>
      </c>
    </row>
    <row r="36" spans="2:4" ht="18.75" x14ac:dyDescent="0.3">
      <c r="B36" s="14" t="s">
        <v>270</v>
      </c>
      <c r="C36" s="139">
        <f>C26*4</f>
        <v>616.24649859943986</v>
      </c>
      <c r="D36" s="15" t="s">
        <v>25</v>
      </c>
    </row>
    <row r="37" spans="2:4" ht="19.5" thickBot="1" x14ac:dyDescent="0.35">
      <c r="B37" s="164" t="s">
        <v>271</v>
      </c>
      <c r="C37" s="154">
        <f>C30+C33+C34+C35+C36+E28</f>
        <v>17563.025210084037</v>
      </c>
      <c r="D37" s="65" t="s">
        <v>25</v>
      </c>
    </row>
    <row r="38" spans="2:4" ht="16.5" thickTop="1" thickBot="1" x14ac:dyDescent="0.3"/>
    <row r="39" spans="2:4" ht="18.75" customHeight="1" thickTop="1" x14ac:dyDescent="0.25">
      <c r="B39" s="643" t="s">
        <v>277</v>
      </c>
      <c r="C39" s="646">
        <f>(C37/C23)*12</f>
        <v>16.450216450216455</v>
      </c>
      <c r="D39" s="649" t="s">
        <v>278</v>
      </c>
    </row>
    <row r="40" spans="2:4" ht="15" customHeight="1" x14ac:dyDescent="0.25">
      <c r="B40" s="644"/>
      <c r="C40" s="647"/>
      <c r="D40" s="650"/>
    </row>
    <row r="41" spans="2:4" ht="9" customHeight="1" thickBot="1" x14ac:dyDescent="0.3">
      <c r="B41" s="645"/>
      <c r="C41" s="648"/>
      <c r="D41" s="651"/>
    </row>
    <row r="42" spans="2:4" ht="15.75" thickTop="1" x14ac:dyDescent="0.25"/>
  </sheetData>
  <mergeCells count="7">
    <mergeCell ref="B2:D3"/>
    <mergeCell ref="B5:D5"/>
    <mergeCell ref="B39:B41"/>
    <mergeCell ref="C39:C41"/>
    <mergeCell ref="D39:D41"/>
    <mergeCell ref="B14:D14"/>
    <mergeCell ref="B25:D25"/>
  </mergeCells>
  <pageMargins left="0.7" right="0.7" top="0.75" bottom="0.75" header="0.3" footer="0.3"/>
  <pageSetup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3D14C-1A56-45F2-A0B5-57C2BDC50C89}">
  <dimension ref="A1:K64"/>
  <sheetViews>
    <sheetView showGridLines="0" showRowColHeaders="0" topLeftCell="A4" zoomScale="85" zoomScaleNormal="85" workbookViewId="0">
      <selection activeCell="D6" sqref="D6"/>
    </sheetView>
  </sheetViews>
  <sheetFormatPr defaultColWidth="9.140625" defaultRowHeight="23.25" x14ac:dyDescent="0.25"/>
  <cols>
    <col min="1" max="1" width="9.140625" style="167"/>
    <col min="2" max="2" width="29.85546875" style="167" customWidth="1"/>
    <col min="3" max="3" width="35.28515625" style="167" customWidth="1"/>
    <col min="4" max="4" width="25" style="167" customWidth="1"/>
    <col min="5" max="5" width="21" style="167" customWidth="1"/>
    <col min="6" max="6" width="23.42578125" style="167" customWidth="1"/>
    <col min="7" max="8" width="17.42578125" style="167" customWidth="1"/>
    <col min="9" max="9" width="16" style="167" customWidth="1"/>
    <col min="10" max="10" width="19.140625" style="167" customWidth="1"/>
    <col min="11" max="11" width="19.42578125" style="167" customWidth="1"/>
    <col min="12" max="16384" width="9.140625" style="167"/>
  </cols>
  <sheetData>
    <row r="1" spans="2:8" ht="24" thickBot="1" x14ac:dyDescent="0.3"/>
    <row r="2" spans="2:8" ht="51.6" customHeight="1" thickTop="1" thickBot="1" x14ac:dyDescent="0.3">
      <c r="B2" s="659" t="s">
        <v>280</v>
      </c>
      <c r="C2" s="660"/>
      <c r="D2" s="660"/>
      <c r="E2" s="660"/>
      <c r="F2" s="660"/>
      <c r="G2" s="660"/>
      <c r="H2" s="661"/>
    </row>
    <row r="3" spans="2:8" ht="24.75" thickTop="1" thickBot="1" x14ac:dyDescent="0.3"/>
    <row r="4" spans="2:8" ht="26.25" customHeight="1" thickTop="1" thickBot="1" x14ac:dyDescent="0.3">
      <c r="B4" s="656" t="s">
        <v>281</v>
      </c>
      <c r="C4" s="657"/>
      <c r="D4" s="658"/>
    </row>
    <row r="5" spans="2:8" ht="24" customHeight="1" thickTop="1" x14ac:dyDescent="0.25">
      <c r="B5" s="662" t="s">
        <v>282</v>
      </c>
      <c r="C5" s="663"/>
      <c r="D5" s="168">
        <v>21000</v>
      </c>
      <c r="F5" s="664" t="s">
        <v>283</v>
      </c>
      <c r="G5" s="665"/>
      <c r="H5" s="666"/>
    </row>
    <row r="6" spans="2:8" ht="24" thickBot="1" x14ac:dyDescent="0.3">
      <c r="B6" s="673" t="s">
        <v>284</v>
      </c>
      <c r="C6" s="674"/>
      <c r="D6" s="169">
        <v>4200</v>
      </c>
      <c r="F6" s="667"/>
      <c r="G6" s="668"/>
      <c r="H6" s="669"/>
    </row>
    <row r="7" spans="2:8" ht="24.75" thickTop="1" thickBot="1" x14ac:dyDescent="0.3">
      <c r="F7" s="670"/>
      <c r="G7" s="671"/>
      <c r="H7" s="672"/>
    </row>
    <row r="8" spans="2:8" ht="24.75" thickTop="1" thickBot="1" x14ac:dyDescent="0.3">
      <c r="B8" s="656" t="s">
        <v>285</v>
      </c>
      <c r="C8" s="657"/>
      <c r="D8" s="658"/>
    </row>
    <row r="9" spans="2:8" ht="42.6" customHeight="1" thickTop="1" x14ac:dyDescent="0.25">
      <c r="B9" s="675" t="s">
        <v>286</v>
      </c>
      <c r="C9" s="663"/>
      <c r="D9" s="168">
        <v>80000</v>
      </c>
      <c r="F9" s="676" t="s">
        <v>287</v>
      </c>
      <c r="G9" s="677"/>
      <c r="H9" s="678"/>
    </row>
    <row r="10" spans="2:8" ht="39.950000000000003" customHeight="1" thickBot="1" x14ac:dyDescent="0.3">
      <c r="B10" s="685" t="s">
        <v>288</v>
      </c>
      <c r="C10" s="674"/>
      <c r="D10" s="169">
        <v>100000</v>
      </c>
      <c r="F10" s="679"/>
      <c r="G10" s="680"/>
      <c r="H10" s="681"/>
    </row>
    <row r="11" spans="2:8" ht="24.75" thickTop="1" thickBot="1" x14ac:dyDescent="0.3">
      <c r="F11" s="682"/>
      <c r="G11" s="683"/>
      <c r="H11" s="684"/>
    </row>
    <row r="12" spans="2:8" ht="33.950000000000003" customHeight="1" thickTop="1" thickBot="1" x14ac:dyDescent="0.3">
      <c r="B12" s="686" t="s">
        <v>289</v>
      </c>
      <c r="C12" s="657"/>
      <c r="D12" s="658"/>
    </row>
    <row r="13" spans="2:8" ht="45.95" customHeight="1" thickTop="1" x14ac:dyDescent="0.25">
      <c r="B13" s="675" t="s">
        <v>290</v>
      </c>
      <c r="C13" s="663"/>
      <c r="D13" s="168">
        <v>210</v>
      </c>
      <c r="F13" s="687" t="s">
        <v>291</v>
      </c>
      <c r="G13" s="688"/>
      <c r="H13" s="689"/>
    </row>
    <row r="14" spans="2:8" ht="53.45" customHeight="1" x14ac:dyDescent="0.25">
      <c r="B14" s="675" t="s">
        <v>292</v>
      </c>
      <c r="C14" s="663"/>
      <c r="D14" s="168">
        <v>5</v>
      </c>
      <c r="F14" s="690"/>
      <c r="G14" s="691"/>
      <c r="H14" s="692"/>
    </row>
    <row r="15" spans="2:8" ht="54.6" customHeight="1" thickBot="1" x14ac:dyDescent="0.3">
      <c r="B15" s="675" t="s">
        <v>293</v>
      </c>
      <c r="C15" s="663"/>
      <c r="D15" s="170">
        <f>D13*D14</f>
        <v>1050</v>
      </c>
      <c r="F15" s="693"/>
      <c r="G15" s="694"/>
      <c r="H15" s="695"/>
    </row>
    <row r="16" spans="2:8" ht="45" customHeight="1" thickTop="1" thickBot="1" x14ac:dyDescent="0.3">
      <c r="B16" s="675" t="s">
        <v>294</v>
      </c>
      <c r="C16" s="663"/>
      <c r="D16" s="171">
        <v>0.2</v>
      </c>
    </row>
    <row r="17" spans="1:8" ht="81" customHeight="1" thickTop="1" x14ac:dyDescent="0.25">
      <c r="B17" s="675" t="s">
        <v>295</v>
      </c>
      <c r="C17" s="663"/>
      <c r="D17" s="170">
        <f>D15*(1-D16)</f>
        <v>840</v>
      </c>
      <c r="F17" s="696" t="s">
        <v>296</v>
      </c>
      <c r="G17" s="697"/>
      <c r="H17" s="698"/>
    </row>
    <row r="18" spans="1:8" ht="54.6" customHeight="1" thickBot="1" x14ac:dyDescent="0.3">
      <c r="B18" s="685" t="s">
        <v>297</v>
      </c>
      <c r="C18" s="674"/>
      <c r="D18" s="172">
        <f>(D17*1000)/D5</f>
        <v>40</v>
      </c>
      <c r="F18" s="699"/>
      <c r="G18" s="700"/>
      <c r="H18" s="701"/>
    </row>
    <row r="19" spans="1:8" ht="24.75" thickTop="1" thickBot="1" x14ac:dyDescent="0.3">
      <c r="F19" s="702"/>
      <c r="G19" s="703"/>
      <c r="H19" s="704"/>
    </row>
    <row r="20" spans="1:8" ht="24" thickTop="1" x14ac:dyDescent="0.25"/>
    <row r="23" spans="1:8" ht="24" thickBot="1" x14ac:dyDescent="0.3"/>
    <row r="24" spans="1:8" s="175" customFormat="1" ht="95.45" customHeight="1" thickTop="1" x14ac:dyDescent="0.25">
      <c r="A24" s="686">
        <v>1</v>
      </c>
      <c r="B24" s="705" t="s">
        <v>298</v>
      </c>
      <c r="C24" s="173" t="s">
        <v>299</v>
      </c>
      <c r="D24" s="173" t="s">
        <v>300</v>
      </c>
      <c r="E24" s="173" t="s">
        <v>301</v>
      </c>
      <c r="F24" s="174" t="s">
        <v>302</v>
      </c>
    </row>
    <row r="25" spans="1:8" x14ac:dyDescent="0.25">
      <c r="A25" s="675"/>
      <c r="B25" s="706"/>
      <c r="C25" s="176" t="s">
        <v>303</v>
      </c>
      <c r="D25" s="177">
        <v>200</v>
      </c>
      <c r="E25" s="177">
        <v>1</v>
      </c>
      <c r="F25" s="178">
        <f t="shared" ref="F25:F31" si="0">(D25*E25)/30</f>
        <v>6.666666666666667</v>
      </c>
    </row>
    <row r="26" spans="1:8" x14ac:dyDescent="0.25">
      <c r="A26" s="675"/>
      <c r="B26" s="706"/>
      <c r="C26" s="176" t="s">
        <v>304</v>
      </c>
      <c r="D26" s="177">
        <v>200</v>
      </c>
      <c r="E26" s="177">
        <v>1</v>
      </c>
      <c r="F26" s="178">
        <f t="shared" si="0"/>
        <v>6.666666666666667</v>
      </c>
    </row>
    <row r="27" spans="1:8" ht="21" customHeight="1" x14ac:dyDescent="0.25">
      <c r="A27" s="675"/>
      <c r="B27" s="706"/>
      <c r="C27" s="176" t="s">
        <v>305</v>
      </c>
      <c r="D27" s="177">
        <v>150</v>
      </c>
      <c r="E27" s="177">
        <v>1</v>
      </c>
      <c r="F27" s="178">
        <f t="shared" si="0"/>
        <v>5</v>
      </c>
    </row>
    <row r="28" spans="1:8" ht="21" customHeight="1" x14ac:dyDescent="0.25">
      <c r="A28" s="675"/>
      <c r="B28" s="706"/>
      <c r="C28" s="176" t="s">
        <v>306</v>
      </c>
      <c r="D28" s="177">
        <v>150</v>
      </c>
      <c r="E28" s="177">
        <v>2</v>
      </c>
      <c r="F28" s="178">
        <f t="shared" si="0"/>
        <v>10</v>
      </c>
    </row>
    <row r="29" spans="1:8" ht="24.75" customHeight="1" x14ac:dyDescent="0.25">
      <c r="A29" s="675"/>
      <c r="B29" s="706"/>
      <c r="C29" s="176" t="s">
        <v>307</v>
      </c>
      <c r="D29" s="177">
        <v>125</v>
      </c>
      <c r="E29" s="177">
        <v>2</v>
      </c>
      <c r="F29" s="178">
        <f t="shared" si="0"/>
        <v>8.3333333333333339</v>
      </c>
    </row>
    <row r="30" spans="1:8" ht="24.75" customHeight="1" x14ac:dyDescent="0.25">
      <c r="A30" s="675"/>
      <c r="B30" s="706"/>
      <c r="C30" s="176" t="s">
        <v>308</v>
      </c>
      <c r="D30" s="177">
        <v>125</v>
      </c>
      <c r="E30" s="177">
        <v>2</v>
      </c>
      <c r="F30" s="178">
        <f t="shared" si="0"/>
        <v>8.3333333333333339</v>
      </c>
    </row>
    <row r="31" spans="1:8" ht="24.75" customHeight="1" x14ac:dyDescent="0.25">
      <c r="A31" s="675"/>
      <c r="B31" s="706"/>
      <c r="C31" s="176" t="s">
        <v>309</v>
      </c>
      <c r="D31" s="177">
        <v>200</v>
      </c>
      <c r="E31" s="177">
        <v>1</v>
      </c>
      <c r="F31" s="178">
        <f t="shared" si="0"/>
        <v>6.666666666666667</v>
      </c>
    </row>
    <row r="32" spans="1:8" ht="24.75" customHeight="1" thickBot="1" x14ac:dyDescent="0.3">
      <c r="A32" s="685"/>
      <c r="B32" s="707"/>
      <c r="C32" s="708" t="s">
        <v>310</v>
      </c>
      <c r="D32" s="709"/>
      <c r="E32" s="179">
        <f>SUM(E25:E31)</f>
        <v>10</v>
      </c>
      <c r="F32" s="180">
        <f>SUM(F25:F31)</f>
        <v>51.666666666666671</v>
      </c>
    </row>
    <row r="33" spans="1:11" ht="24" thickTop="1" x14ac:dyDescent="0.25"/>
    <row r="34" spans="1:11" ht="24" thickBot="1" x14ac:dyDescent="0.3"/>
    <row r="35" spans="1:11" s="175" customFormat="1" ht="116.1" customHeight="1" thickTop="1" x14ac:dyDescent="0.25">
      <c r="A35" s="716">
        <v>2</v>
      </c>
      <c r="B35" s="711" t="s">
        <v>311</v>
      </c>
      <c r="C35" s="173" t="s">
        <v>312</v>
      </c>
      <c r="D35" s="173" t="s">
        <v>313</v>
      </c>
      <c r="E35" s="173" t="s">
        <v>314</v>
      </c>
      <c r="F35" s="173" t="s">
        <v>315</v>
      </c>
      <c r="G35" s="173" t="s">
        <v>316</v>
      </c>
      <c r="H35" s="173" t="s">
        <v>317</v>
      </c>
      <c r="I35" s="173" t="s">
        <v>318</v>
      </c>
      <c r="J35" s="173" t="s">
        <v>319</v>
      </c>
      <c r="K35" s="174" t="s">
        <v>320</v>
      </c>
    </row>
    <row r="36" spans="1:11" x14ac:dyDescent="0.25">
      <c r="A36" s="717"/>
      <c r="B36" s="719"/>
      <c r="C36" s="176" t="s">
        <v>321</v>
      </c>
      <c r="D36" s="176" t="s">
        <v>322</v>
      </c>
      <c r="E36" s="177">
        <v>18</v>
      </c>
      <c r="F36" s="177">
        <v>20</v>
      </c>
      <c r="G36" s="177">
        <v>5</v>
      </c>
      <c r="H36" s="177">
        <v>0.65</v>
      </c>
      <c r="I36" s="177">
        <v>5</v>
      </c>
      <c r="J36" s="181">
        <f>H36*G36*E36</f>
        <v>58.5</v>
      </c>
      <c r="K36" s="178">
        <f>(F36*I36)/30</f>
        <v>3.3333333333333335</v>
      </c>
    </row>
    <row r="37" spans="1:11" x14ac:dyDescent="0.25">
      <c r="A37" s="717"/>
      <c r="B37" s="719"/>
      <c r="C37" s="176" t="s">
        <v>323</v>
      </c>
      <c r="D37" s="176" t="s">
        <v>324</v>
      </c>
      <c r="E37" s="177">
        <v>18</v>
      </c>
      <c r="F37" s="177">
        <v>20</v>
      </c>
      <c r="G37" s="177">
        <v>5</v>
      </c>
      <c r="H37" s="181">
        <f>H36</f>
        <v>0.65</v>
      </c>
      <c r="I37" s="181">
        <f>I36</f>
        <v>5</v>
      </c>
      <c r="J37" s="181">
        <f>H37*G37*E37</f>
        <v>58.5</v>
      </c>
      <c r="K37" s="178">
        <f t="shared" ref="K37:K39" si="1">(F37*I37)/30</f>
        <v>3.3333333333333335</v>
      </c>
    </row>
    <row r="38" spans="1:11" x14ac:dyDescent="0.25">
      <c r="A38" s="717"/>
      <c r="B38" s="719"/>
      <c r="C38" s="176" t="s">
        <v>325</v>
      </c>
      <c r="D38" s="176" t="s">
        <v>326</v>
      </c>
      <c r="E38" s="177">
        <v>18</v>
      </c>
      <c r="F38" s="177">
        <v>20</v>
      </c>
      <c r="G38" s="177">
        <v>5</v>
      </c>
      <c r="H38" s="181">
        <f>H36</f>
        <v>0.65</v>
      </c>
      <c r="I38" s="181">
        <f>I36</f>
        <v>5</v>
      </c>
      <c r="J38" s="181">
        <f>H38*G38*E38</f>
        <v>58.5</v>
      </c>
      <c r="K38" s="178">
        <f t="shared" si="1"/>
        <v>3.3333333333333335</v>
      </c>
    </row>
    <row r="39" spans="1:11" x14ac:dyDescent="0.25">
      <c r="A39" s="717"/>
      <c r="B39" s="719"/>
      <c r="C39" s="176"/>
      <c r="D39" s="176" t="s">
        <v>327</v>
      </c>
      <c r="E39" s="177">
        <v>0</v>
      </c>
      <c r="F39" s="177">
        <v>0</v>
      </c>
      <c r="G39" s="177">
        <v>0</v>
      </c>
      <c r="H39" s="181">
        <f>H36</f>
        <v>0.65</v>
      </c>
      <c r="I39" s="181">
        <f>I36</f>
        <v>5</v>
      </c>
      <c r="J39" s="181">
        <f>H39*G39*E39</f>
        <v>0</v>
      </c>
      <c r="K39" s="178">
        <f t="shared" si="1"/>
        <v>0</v>
      </c>
    </row>
    <row r="40" spans="1:11" ht="24" thickBot="1" x14ac:dyDescent="0.3">
      <c r="A40" s="718"/>
      <c r="B40" s="720"/>
      <c r="C40" s="674" t="s">
        <v>328</v>
      </c>
      <c r="D40" s="674"/>
      <c r="E40" s="179">
        <f t="shared" ref="E40:F40" si="2">SUM(E36:E39)</f>
        <v>54</v>
      </c>
      <c r="F40" s="179">
        <f t="shared" si="2"/>
        <v>60</v>
      </c>
      <c r="G40" s="179"/>
      <c r="H40" s="179">
        <f>H36</f>
        <v>0.65</v>
      </c>
      <c r="I40" s="179">
        <f>I36</f>
        <v>5</v>
      </c>
      <c r="J40" s="179">
        <f>SUM(J36:J39)</f>
        <v>175.5</v>
      </c>
      <c r="K40" s="172">
        <f>SUM(K36:K39)</f>
        <v>10</v>
      </c>
    </row>
    <row r="41" spans="1:11" ht="24" thickTop="1" x14ac:dyDescent="0.25"/>
    <row r="44" spans="1:11" ht="24" thickBot="1" x14ac:dyDescent="0.3"/>
    <row r="45" spans="1:11" s="175" customFormat="1" ht="163.5" thickTop="1" x14ac:dyDescent="0.25">
      <c r="A45" s="716">
        <v>3</v>
      </c>
      <c r="B45" s="711" t="s">
        <v>329</v>
      </c>
      <c r="C45" s="705" t="s">
        <v>330</v>
      </c>
      <c r="D45" s="705"/>
      <c r="E45" s="173" t="s">
        <v>331</v>
      </c>
      <c r="F45" s="173" t="s">
        <v>332</v>
      </c>
      <c r="G45" s="173" t="s">
        <v>333</v>
      </c>
      <c r="H45" s="173" t="s">
        <v>334</v>
      </c>
      <c r="I45" s="174" t="s">
        <v>335</v>
      </c>
    </row>
    <row r="46" spans="1:11" ht="49.5" customHeight="1" x14ac:dyDescent="0.25">
      <c r="A46" s="717"/>
      <c r="B46" s="719"/>
      <c r="C46" s="706" t="s">
        <v>336</v>
      </c>
      <c r="D46" s="706"/>
      <c r="E46" s="181">
        <f>D9</f>
        <v>80000</v>
      </c>
      <c r="F46" s="182">
        <f>E46*0.005</f>
        <v>400</v>
      </c>
      <c r="G46" s="183">
        <f>F46/365</f>
        <v>1.095890410958904</v>
      </c>
      <c r="H46" s="182">
        <f>E46/7</f>
        <v>11428.571428571429</v>
      </c>
      <c r="I46" s="184">
        <f>H46/365</f>
        <v>31.311154598825834</v>
      </c>
    </row>
    <row r="47" spans="1:11" x14ac:dyDescent="0.25">
      <c r="A47" s="717"/>
      <c r="B47" s="719"/>
      <c r="C47" s="706" t="s">
        <v>337</v>
      </c>
      <c r="D47" s="706"/>
      <c r="E47" s="181">
        <f>D10</f>
        <v>100000</v>
      </c>
      <c r="F47" s="182">
        <f>E47*0.002</f>
        <v>200</v>
      </c>
      <c r="G47" s="183">
        <f>F47/365</f>
        <v>0.54794520547945202</v>
      </c>
      <c r="H47" s="182">
        <f>E47/15</f>
        <v>6666.666666666667</v>
      </c>
      <c r="I47" s="184">
        <f>H47/365</f>
        <v>18.264840182648403</v>
      </c>
    </row>
    <row r="48" spans="1:11" ht="24" thickBot="1" x14ac:dyDescent="0.3">
      <c r="A48" s="718"/>
      <c r="B48" s="720"/>
      <c r="C48" s="708" t="s">
        <v>338</v>
      </c>
      <c r="D48" s="709"/>
      <c r="E48" s="179">
        <f t="shared" ref="E48:F48" si="3">SUM(E46:E47)</f>
        <v>180000</v>
      </c>
      <c r="F48" s="185">
        <f t="shared" si="3"/>
        <v>600</v>
      </c>
      <c r="G48" s="186">
        <f>SUM(G46:G47)</f>
        <v>1.6438356164383561</v>
      </c>
      <c r="H48" s="185">
        <f t="shared" ref="H48:I48" si="4">SUM(H46:H47)</f>
        <v>18095.238095238095</v>
      </c>
      <c r="I48" s="187">
        <f t="shared" si="4"/>
        <v>49.575994781474236</v>
      </c>
    </row>
    <row r="49" spans="1:8" ht="24" thickTop="1" x14ac:dyDescent="0.25"/>
    <row r="50" spans="1:8" ht="25.5" customHeight="1" x14ac:dyDescent="0.25"/>
    <row r="51" spans="1:8" ht="24" thickBot="1" x14ac:dyDescent="0.3"/>
    <row r="52" spans="1:8" ht="48.95" customHeight="1" thickTop="1" thickBot="1" x14ac:dyDescent="0.3">
      <c r="A52" s="686" t="s">
        <v>339</v>
      </c>
      <c r="B52" s="657"/>
      <c r="C52" s="657"/>
      <c r="D52" s="658"/>
    </row>
    <row r="53" spans="1:8" ht="31.5" customHeight="1" thickTop="1" x14ac:dyDescent="0.25">
      <c r="A53" s="721"/>
      <c r="B53" s="722"/>
      <c r="C53" s="176" t="s">
        <v>340</v>
      </c>
      <c r="D53" s="188" t="s">
        <v>341</v>
      </c>
      <c r="F53" s="710" t="s">
        <v>342</v>
      </c>
      <c r="G53" s="711"/>
      <c r="H53" s="714">
        <v>525</v>
      </c>
    </row>
    <row r="54" spans="1:8" ht="46.5" customHeight="1" thickBot="1" x14ac:dyDescent="0.3">
      <c r="A54" s="189">
        <v>1</v>
      </c>
      <c r="B54" s="190" t="s">
        <v>343</v>
      </c>
      <c r="C54" s="191">
        <f>F32</f>
        <v>51.666666666666671</v>
      </c>
      <c r="D54" s="192">
        <f>C54*H53</f>
        <v>27125.000000000004</v>
      </c>
      <c r="F54" s="712"/>
      <c r="G54" s="713"/>
      <c r="H54" s="715"/>
    </row>
    <row r="55" spans="1:8" ht="53.45" customHeight="1" thickTop="1" x14ac:dyDescent="0.25">
      <c r="A55" s="189">
        <v>2</v>
      </c>
      <c r="B55" s="190" t="s">
        <v>344</v>
      </c>
      <c r="C55" s="191">
        <f>J40</f>
        <v>175.5</v>
      </c>
      <c r="D55" s="192">
        <f>C55*H53</f>
        <v>92137.5</v>
      </c>
    </row>
    <row r="56" spans="1:8" ht="48" customHeight="1" x14ac:dyDescent="0.25">
      <c r="A56" s="189">
        <v>3</v>
      </c>
      <c r="B56" s="190" t="s">
        <v>345</v>
      </c>
      <c r="C56" s="191">
        <f>K40</f>
        <v>10</v>
      </c>
      <c r="D56" s="192">
        <f>C56*H53</f>
        <v>5250</v>
      </c>
    </row>
    <row r="57" spans="1:8" ht="48.6" customHeight="1" x14ac:dyDescent="0.25">
      <c r="A57" s="189">
        <v>4</v>
      </c>
      <c r="B57" s="190" t="s">
        <v>346</v>
      </c>
      <c r="C57" s="191">
        <f>G48</f>
        <v>1.6438356164383561</v>
      </c>
      <c r="D57" s="192">
        <f>C57*H53</f>
        <v>863.0136986301369</v>
      </c>
    </row>
    <row r="58" spans="1:8" ht="45" customHeight="1" x14ac:dyDescent="0.25">
      <c r="A58" s="189">
        <v>5</v>
      </c>
      <c r="B58" s="190" t="s">
        <v>347</v>
      </c>
      <c r="C58" s="191">
        <f>I48</f>
        <v>49.575994781474236</v>
      </c>
      <c r="D58" s="192">
        <f>C58*H53</f>
        <v>26027.397260273974</v>
      </c>
    </row>
    <row r="59" spans="1:8" ht="31.5" customHeight="1" x14ac:dyDescent="0.25">
      <c r="A59" s="662" t="s">
        <v>348</v>
      </c>
      <c r="B59" s="663"/>
      <c r="C59" s="191">
        <f>SUM(C54:C58)</f>
        <v>288.38649706457932</v>
      </c>
      <c r="D59" s="192">
        <f>C59*H53</f>
        <v>151402.91095890413</v>
      </c>
    </row>
    <row r="60" spans="1:8" ht="39.950000000000003" customHeight="1" x14ac:dyDescent="0.25">
      <c r="A60" s="675" t="s">
        <v>349</v>
      </c>
      <c r="B60" s="663"/>
      <c r="C60" s="191">
        <f>D17</f>
        <v>840</v>
      </c>
      <c r="D60" s="192">
        <f>C60*H53</f>
        <v>441000</v>
      </c>
    </row>
    <row r="61" spans="1:8" ht="45.6" customHeight="1" x14ac:dyDescent="0.25">
      <c r="A61" s="675" t="s">
        <v>350</v>
      </c>
      <c r="B61" s="663"/>
      <c r="C61" s="191">
        <f>C59/C60</f>
        <v>0.34331725841021349</v>
      </c>
      <c r="D61" s="192">
        <f>C61*H53</f>
        <v>180.24156066536207</v>
      </c>
    </row>
    <row r="62" spans="1:8" ht="48" customHeight="1" x14ac:dyDescent="0.25">
      <c r="A62" s="675" t="s">
        <v>351</v>
      </c>
      <c r="B62" s="663"/>
      <c r="C62" s="191">
        <f>(C59/D5)*30</f>
        <v>0.41198071009225617</v>
      </c>
      <c r="D62" s="192">
        <f>C62*H53</f>
        <v>216.28987279843449</v>
      </c>
    </row>
    <row r="63" spans="1:8" ht="51.6" customHeight="1" thickBot="1" x14ac:dyDescent="0.3">
      <c r="A63" s="685" t="s">
        <v>352</v>
      </c>
      <c r="B63" s="674"/>
      <c r="C63" s="193">
        <f>(C59/D6)*30</f>
        <v>2.0599035504612808</v>
      </c>
      <c r="D63" s="194">
        <f>C63*H53</f>
        <v>1081.4493639921725</v>
      </c>
    </row>
    <row r="64" spans="1:8" ht="24" thickTop="1" x14ac:dyDescent="0.25"/>
  </sheetData>
  <mergeCells count="39">
    <mergeCell ref="A61:B61"/>
    <mergeCell ref="A62:B62"/>
    <mergeCell ref="A63:B63"/>
    <mergeCell ref="A52:D52"/>
    <mergeCell ref="A53:B53"/>
    <mergeCell ref="F53:G54"/>
    <mergeCell ref="H53:H54"/>
    <mergeCell ref="A59:B59"/>
    <mergeCell ref="A60:B60"/>
    <mergeCell ref="A35:A40"/>
    <mergeCell ref="B35:B40"/>
    <mergeCell ref="C40:D40"/>
    <mergeCell ref="A45:A48"/>
    <mergeCell ref="B45:B48"/>
    <mergeCell ref="C45:D45"/>
    <mergeCell ref="C46:D46"/>
    <mergeCell ref="C47:D47"/>
    <mergeCell ref="C48:D48"/>
    <mergeCell ref="B16:C16"/>
    <mergeCell ref="B17:C17"/>
    <mergeCell ref="F17:H19"/>
    <mergeCell ref="B18:C18"/>
    <mergeCell ref="A24:A32"/>
    <mergeCell ref="B24:B32"/>
    <mergeCell ref="C32:D32"/>
    <mergeCell ref="B9:C9"/>
    <mergeCell ref="F9:H11"/>
    <mergeCell ref="B10:C10"/>
    <mergeCell ref="B12:D12"/>
    <mergeCell ref="B13:C13"/>
    <mergeCell ref="F13:H15"/>
    <mergeCell ref="B14:C14"/>
    <mergeCell ref="B15:C15"/>
    <mergeCell ref="B8:D8"/>
    <mergeCell ref="B2:H2"/>
    <mergeCell ref="B4:D4"/>
    <mergeCell ref="B5:C5"/>
    <mergeCell ref="F5:H7"/>
    <mergeCell ref="B6:C6"/>
  </mergeCells>
  <pageMargins left="0.7" right="0.7" top="0.75" bottom="0.75" header="0.3" footer="0.3"/>
  <pageSetup paperSize="9" scale="5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CC435-CFB4-46DD-96F3-6BA877B4E5FA}">
  <dimension ref="B1:D12"/>
  <sheetViews>
    <sheetView workbookViewId="0">
      <selection activeCell="H5" sqref="H5"/>
    </sheetView>
  </sheetViews>
  <sheetFormatPr defaultRowHeight="15" x14ac:dyDescent="0.25"/>
  <cols>
    <col min="2" max="2" width="26.7109375" customWidth="1"/>
    <col min="3" max="3" width="16.42578125" customWidth="1"/>
    <col min="4" max="4" width="35" customWidth="1"/>
  </cols>
  <sheetData>
    <row r="1" spans="2:4" ht="15.75" thickBot="1" x14ac:dyDescent="0.3"/>
    <row r="2" spans="2:4" ht="30" customHeight="1" thickTop="1" x14ac:dyDescent="0.25">
      <c r="B2" s="723" t="s">
        <v>108</v>
      </c>
      <c r="C2" s="724"/>
      <c r="D2" s="725"/>
    </row>
    <row r="3" spans="2:4" ht="30" customHeight="1" x14ac:dyDescent="0.25">
      <c r="B3" s="29" t="s">
        <v>358</v>
      </c>
      <c r="C3" s="12">
        <v>100</v>
      </c>
      <c r="D3" s="30" t="s">
        <v>357</v>
      </c>
    </row>
    <row r="4" spans="2:4" ht="30" customHeight="1" x14ac:dyDescent="0.25">
      <c r="B4" s="29" t="s">
        <v>358</v>
      </c>
      <c r="C4" s="12">
        <v>0.2</v>
      </c>
      <c r="D4" s="30" t="s">
        <v>356</v>
      </c>
    </row>
    <row r="5" spans="2:4" ht="30" customHeight="1" x14ac:dyDescent="0.25">
      <c r="B5" s="29" t="s">
        <v>358</v>
      </c>
      <c r="C5" s="12">
        <f>C3+2*C4</f>
        <v>100.4</v>
      </c>
      <c r="D5" s="30" t="s">
        <v>109</v>
      </c>
    </row>
    <row r="6" spans="2:4" ht="30" customHeight="1" x14ac:dyDescent="0.25">
      <c r="B6" s="29" t="s">
        <v>358</v>
      </c>
      <c r="C6" s="12">
        <v>6</v>
      </c>
      <c r="D6" s="30" t="s">
        <v>110</v>
      </c>
    </row>
    <row r="7" spans="2:4" ht="30" customHeight="1" x14ac:dyDescent="0.25">
      <c r="B7" s="31" t="s">
        <v>22</v>
      </c>
      <c r="C7" s="10">
        <f>(3.14*(C3/2)*(C3/2))*0.000001</f>
        <v>7.8499999999999993E-3</v>
      </c>
      <c r="D7" s="242" t="s">
        <v>359</v>
      </c>
    </row>
    <row r="8" spans="2:4" ht="30" customHeight="1" x14ac:dyDescent="0.25">
      <c r="B8" s="31" t="s">
        <v>23</v>
      </c>
      <c r="C8" s="10">
        <f>(3.14*(C5/2)*(C5/2))*0.000001</f>
        <v>7.9129256000000005E-3</v>
      </c>
      <c r="D8" s="242" t="s">
        <v>360</v>
      </c>
    </row>
    <row r="9" spans="2:4" ht="30" customHeight="1" x14ac:dyDescent="0.25">
      <c r="B9" s="31" t="s">
        <v>111</v>
      </c>
      <c r="C9" s="10">
        <f>C8-C7</f>
        <v>6.2925600000001206E-5</v>
      </c>
      <c r="D9" s="242" t="s">
        <v>361</v>
      </c>
    </row>
    <row r="10" spans="2:4" ht="30" customHeight="1" x14ac:dyDescent="0.25">
      <c r="B10" s="31" t="s">
        <v>72</v>
      </c>
      <c r="C10" s="10">
        <f>7200*C9</f>
        <v>0.45306432000000868</v>
      </c>
      <c r="D10" s="242" t="s">
        <v>112</v>
      </c>
    </row>
    <row r="11" spans="2:4" ht="30" customHeight="1" thickBot="1" x14ac:dyDescent="0.3">
      <c r="B11" s="33" t="s">
        <v>73</v>
      </c>
      <c r="C11" s="165">
        <f>C10*C6</f>
        <v>2.7183859200000522</v>
      </c>
      <c r="D11" s="243" t="s">
        <v>113</v>
      </c>
    </row>
    <row r="12" spans="2:4" ht="15.75" thickTop="1" x14ac:dyDescent="0.25"/>
  </sheetData>
  <mergeCells count="1">
    <mergeCell ref="B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72CD0-C134-48F9-B439-A4CEB676C125}">
  <dimension ref="B1:N16"/>
  <sheetViews>
    <sheetView zoomScale="85" zoomScaleNormal="85" workbookViewId="0">
      <selection activeCell="D3" sqref="D3"/>
    </sheetView>
  </sheetViews>
  <sheetFormatPr defaultRowHeight="15" x14ac:dyDescent="0.25"/>
  <cols>
    <col min="2" max="2" width="14.5703125" customWidth="1"/>
    <col min="3" max="3" width="62.42578125" customWidth="1"/>
    <col min="4" max="4" width="16.5703125" customWidth="1"/>
    <col min="6" max="6" width="6.140625" customWidth="1"/>
    <col min="7" max="7" width="5.140625" customWidth="1"/>
    <col min="13" max="13" width="4" customWidth="1"/>
    <col min="14" max="14" width="2.5703125" customWidth="1"/>
  </cols>
  <sheetData>
    <row r="1" spans="2:14" ht="15.75" thickBot="1" x14ac:dyDescent="0.3"/>
    <row r="2" spans="2:14" ht="65.25" customHeight="1" thickTop="1" thickBot="1" x14ac:dyDescent="0.3">
      <c r="B2" s="456" t="s">
        <v>682</v>
      </c>
      <c r="C2" s="457"/>
      <c r="D2" s="458"/>
    </row>
    <row r="3" spans="2:14" ht="50.1" customHeight="1" thickTop="1" x14ac:dyDescent="0.25">
      <c r="B3" s="356" t="s">
        <v>549</v>
      </c>
      <c r="C3" s="395" t="s">
        <v>678</v>
      </c>
      <c r="D3" s="332">
        <f>'لوحة الإدخال الرئيسية'!C6</f>
        <v>60</v>
      </c>
      <c r="F3" s="462" t="s">
        <v>688</v>
      </c>
      <c r="G3" s="463"/>
      <c r="H3" s="463"/>
      <c r="I3" s="463"/>
      <c r="J3" s="463"/>
      <c r="K3" s="463"/>
      <c r="L3" s="463"/>
      <c r="M3" s="463"/>
      <c r="N3" s="464"/>
    </row>
    <row r="4" spans="2:14" ht="50.1" customHeight="1" thickBot="1" x14ac:dyDescent="0.3">
      <c r="B4" s="356" t="s">
        <v>10</v>
      </c>
      <c r="C4" s="395" t="s">
        <v>679</v>
      </c>
      <c r="D4" s="332">
        <v>1</v>
      </c>
      <c r="E4" s="239"/>
      <c r="F4" s="465"/>
      <c r="G4" s="466"/>
      <c r="H4" s="466"/>
      <c r="I4" s="466"/>
      <c r="J4" s="466"/>
      <c r="K4" s="466"/>
      <c r="L4" s="466"/>
      <c r="M4" s="466"/>
      <c r="N4" s="467"/>
    </row>
    <row r="5" spans="2:14" ht="50.1" customHeight="1" thickTop="1" x14ac:dyDescent="0.25">
      <c r="B5" s="238" t="s">
        <v>353</v>
      </c>
      <c r="C5" s="396" t="s">
        <v>680</v>
      </c>
      <c r="D5" s="237">
        <f>D3/3600</f>
        <v>1.6666666666666666E-2</v>
      </c>
    </row>
    <row r="6" spans="2:14" ht="50.1" customHeight="1" x14ac:dyDescent="0.25">
      <c r="B6" s="238" t="s">
        <v>547</v>
      </c>
      <c r="C6" s="396" t="s">
        <v>684</v>
      </c>
      <c r="D6" s="237">
        <f>D5/D4</f>
        <v>1.6666666666666666E-2</v>
      </c>
    </row>
    <row r="7" spans="2:14" ht="50.1" customHeight="1" thickBot="1" x14ac:dyDescent="0.3">
      <c r="B7" s="238" t="s">
        <v>358</v>
      </c>
      <c r="C7" s="396" t="s">
        <v>685</v>
      </c>
      <c r="D7" s="237">
        <f>SQRT((D6/3.14))</f>
        <v>7.2855031578655999E-2</v>
      </c>
    </row>
    <row r="8" spans="2:14" ht="50.1" customHeight="1" thickTop="1" thickBot="1" x14ac:dyDescent="0.3">
      <c r="B8" s="398" t="s">
        <v>638</v>
      </c>
      <c r="C8" s="399" t="s">
        <v>681</v>
      </c>
      <c r="D8" s="400">
        <f>(D7*2)/0.0254</f>
        <v>5.7366166597366934</v>
      </c>
      <c r="E8" s="239"/>
      <c r="F8" s="459" t="s">
        <v>548</v>
      </c>
      <c r="G8" s="460"/>
      <c r="H8" s="460"/>
      <c r="I8" s="460"/>
      <c r="J8" s="460"/>
      <c r="K8" s="460"/>
      <c r="L8" s="460"/>
      <c r="M8" s="460"/>
      <c r="N8" s="461"/>
    </row>
    <row r="9" spans="2:14" ht="50.1" customHeight="1" thickTop="1" thickBot="1" x14ac:dyDescent="0.3">
      <c r="B9" s="398" t="s">
        <v>638</v>
      </c>
      <c r="C9" s="399" t="s">
        <v>689</v>
      </c>
      <c r="D9" s="401">
        <f>ROUND(D8,0)</f>
        <v>6</v>
      </c>
      <c r="E9" s="239"/>
      <c r="F9" s="459" t="s">
        <v>550</v>
      </c>
      <c r="G9" s="460"/>
      <c r="H9" s="460"/>
      <c r="I9" s="460"/>
      <c r="J9" s="460"/>
      <c r="K9" s="460"/>
      <c r="L9" s="460"/>
      <c r="M9" s="460"/>
      <c r="N9" s="461"/>
    </row>
    <row r="10" spans="2:14" ht="50.1" customHeight="1" thickTop="1" x14ac:dyDescent="0.25">
      <c r="B10" s="238" t="s">
        <v>358</v>
      </c>
      <c r="C10" s="396" t="s">
        <v>686</v>
      </c>
      <c r="D10" s="237">
        <f>(D9*0.0254)/2</f>
        <v>7.619999999999999E-2</v>
      </c>
    </row>
    <row r="11" spans="2:14" ht="50.1" customHeight="1" x14ac:dyDescent="0.25">
      <c r="B11" s="240" t="s">
        <v>551</v>
      </c>
      <c r="C11" s="397" t="s">
        <v>683</v>
      </c>
      <c r="D11" s="241">
        <f>3.14*D10*D10</f>
        <v>1.8232221599999997E-2</v>
      </c>
    </row>
    <row r="12" spans="2:14" ht="50.1" customHeight="1" thickBot="1" x14ac:dyDescent="0.3">
      <c r="B12" s="402" t="s">
        <v>10</v>
      </c>
      <c r="C12" s="403" t="s">
        <v>687</v>
      </c>
      <c r="D12" s="404">
        <f>D5/D11</f>
        <v>0.91413251946579399</v>
      </c>
    </row>
    <row r="13" spans="2:14" ht="16.5" thickTop="1" thickBot="1" x14ac:dyDescent="0.3"/>
    <row r="14" spans="2:14" ht="33.75" customHeight="1" thickTop="1" x14ac:dyDescent="0.25">
      <c r="B14" s="438" t="s">
        <v>581</v>
      </c>
      <c r="C14" s="439"/>
      <c r="D14" s="439"/>
      <c r="E14" s="440"/>
    </row>
    <row r="15" spans="2:14" ht="39" customHeight="1" thickBot="1" x14ac:dyDescent="0.3">
      <c r="B15" s="441"/>
      <c r="C15" s="442"/>
      <c r="D15" s="442"/>
      <c r="E15" s="443"/>
    </row>
    <row r="16" spans="2:14" ht="15.75" thickTop="1" x14ac:dyDescent="0.25"/>
  </sheetData>
  <mergeCells count="5">
    <mergeCell ref="B2:D2"/>
    <mergeCell ref="F8:N8"/>
    <mergeCell ref="F9:N9"/>
    <mergeCell ref="B14:E15"/>
    <mergeCell ref="F3:N4"/>
  </mergeCells>
  <pageMargins left="0.7" right="0.7" top="0.75" bottom="0.75" header="0.3" footer="0.3"/>
  <pageSetup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59"/>
  <sheetViews>
    <sheetView showGridLines="0" showRowColHeaders="0" zoomScale="115" zoomScaleNormal="115" workbookViewId="0">
      <selection activeCell="B16" sqref="B16"/>
    </sheetView>
  </sheetViews>
  <sheetFormatPr defaultRowHeight="20.25" x14ac:dyDescent="0.3"/>
  <cols>
    <col min="1" max="1" width="2.42578125" style="43" customWidth="1"/>
    <col min="2" max="2" width="66.140625" style="43" customWidth="1"/>
    <col min="3" max="3" width="11.28515625" style="75" customWidth="1"/>
    <col min="4" max="6" width="9.140625" style="43"/>
    <col min="7" max="7" width="21.28515625" style="43" customWidth="1"/>
    <col min="8" max="8" width="12.28515625" style="43" customWidth="1"/>
    <col min="9" max="9" width="42.28515625" style="44" customWidth="1"/>
    <col min="10" max="10" width="22" style="76" customWidth="1"/>
    <col min="11" max="11" width="9.140625" style="43"/>
    <col min="12" max="12" width="63" style="77" customWidth="1"/>
    <col min="13" max="13" width="26" style="78" customWidth="1"/>
    <col min="14" max="16384" width="9.140625" style="43"/>
  </cols>
  <sheetData>
    <row r="1" spans="2:13" s="42" customFormat="1" x14ac:dyDescent="0.3">
      <c r="B1" s="41" t="s">
        <v>78</v>
      </c>
      <c r="C1" s="74"/>
      <c r="I1" s="44"/>
      <c r="J1" s="76"/>
      <c r="K1" s="43"/>
      <c r="L1" s="77"/>
      <c r="M1" s="78"/>
    </row>
    <row r="3" spans="2:13" ht="45.75" customHeight="1" thickBot="1" x14ac:dyDescent="0.35">
      <c r="B3" s="473" t="s">
        <v>95</v>
      </c>
      <c r="C3" s="474"/>
      <c r="E3" s="490" t="s">
        <v>633</v>
      </c>
      <c r="F3" s="490"/>
      <c r="G3" s="490"/>
    </row>
    <row r="4" spans="2:13" ht="21.75" thickTop="1" thickBot="1" x14ac:dyDescent="0.3">
      <c r="B4" s="487" t="s">
        <v>87</v>
      </c>
      <c r="C4" s="487"/>
      <c r="I4" s="468" t="s">
        <v>118</v>
      </c>
      <c r="J4" s="469"/>
      <c r="L4" s="197"/>
      <c r="M4" s="198"/>
    </row>
    <row r="5" spans="2:13" ht="21.75" thickTop="1" thickBot="1" x14ac:dyDescent="0.25">
      <c r="B5" s="488" t="s">
        <v>79</v>
      </c>
      <c r="C5" s="489"/>
      <c r="I5" s="195" t="s">
        <v>363</v>
      </c>
      <c r="J5" s="196" t="s">
        <v>362</v>
      </c>
      <c r="L5" s="199" t="s">
        <v>363</v>
      </c>
      <c r="M5" s="196" t="s">
        <v>362</v>
      </c>
    </row>
    <row r="6" spans="2:13" ht="20.25" customHeight="1" thickTop="1" thickBot="1" x14ac:dyDescent="0.3">
      <c r="B6" s="245" t="s">
        <v>80</v>
      </c>
      <c r="C6" s="333">
        <f>'لوحة الإدخال الرئيسية'!C7</f>
        <v>1400</v>
      </c>
      <c r="D6" s="477" t="s">
        <v>627</v>
      </c>
      <c r="E6" s="477"/>
      <c r="F6" s="477"/>
      <c r="G6" s="478"/>
      <c r="H6" s="73"/>
      <c r="I6" s="81" t="s">
        <v>119</v>
      </c>
      <c r="J6" s="79">
        <v>130</v>
      </c>
      <c r="L6" s="80" t="s">
        <v>120</v>
      </c>
      <c r="M6" s="79" t="s">
        <v>121</v>
      </c>
    </row>
    <row r="7" spans="2:13" ht="21.75" thickTop="1" thickBot="1" x14ac:dyDescent="0.3">
      <c r="B7" s="254" t="s">
        <v>81</v>
      </c>
      <c r="C7" s="333">
        <f>'لوحة الإدخال الرئيسية'!C8</f>
        <v>120</v>
      </c>
      <c r="D7" s="479" t="s">
        <v>622</v>
      </c>
      <c r="E7" s="479"/>
      <c r="F7" s="479"/>
      <c r="G7" s="480"/>
      <c r="H7" s="72"/>
      <c r="I7" s="81" t="s">
        <v>122</v>
      </c>
      <c r="J7" s="79" t="s">
        <v>123</v>
      </c>
      <c r="L7" s="80" t="s">
        <v>124</v>
      </c>
      <c r="M7" s="79">
        <v>140</v>
      </c>
    </row>
    <row r="8" spans="2:13" ht="21.75" thickTop="1" thickBot="1" x14ac:dyDescent="0.3">
      <c r="B8" s="255" t="s">
        <v>82</v>
      </c>
      <c r="C8" s="333">
        <f>'لوحة الإدخال الرئيسية'!C6</f>
        <v>60</v>
      </c>
      <c r="D8" s="479" t="s">
        <v>623</v>
      </c>
      <c r="E8" s="479"/>
      <c r="F8" s="479"/>
      <c r="G8" s="480"/>
      <c r="H8" s="72"/>
      <c r="I8" s="81" t="s">
        <v>125</v>
      </c>
      <c r="J8" s="79">
        <v>140</v>
      </c>
      <c r="L8" s="80" t="s">
        <v>126</v>
      </c>
      <c r="M8" s="79">
        <v>150</v>
      </c>
    </row>
    <row r="9" spans="2:13" ht="21.75" thickTop="1" thickBot="1" x14ac:dyDescent="0.25">
      <c r="B9" s="245" t="s">
        <v>88</v>
      </c>
      <c r="C9" s="251">
        <f>0.2777777778*C8</f>
        <v>16.666666668000001</v>
      </c>
      <c r="D9" s="86"/>
      <c r="E9" s="45"/>
      <c r="F9" s="45"/>
      <c r="G9" s="45"/>
      <c r="I9" s="81" t="s">
        <v>127</v>
      </c>
      <c r="J9" s="79" t="s">
        <v>128</v>
      </c>
      <c r="L9" s="80" t="s">
        <v>129</v>
      </c>
      <c r="M9" s="79">
        <v>140</v>
      </c>
    </row>
    <row r="10" spans="2:13" ht="21.75" thickTop="1" thickBot="1" x14ac:dyDescent="0.3">
      <c r="B10" s="245" t="s">
        <v>83</v>
      </c>
      <c r="C10" s="333">
        <f>'حساب قطر الأنابيب'!D9</f>
        <v>6</v>
      </c>
      <c r="D10" s="477" t="s">
        <v>624</v>
      </c>
      <c r="E10" s="477"/>
      <c r="F10" s="477"/>
      <c r="G10" s="478"/>
      <c r="H10" s="73"/>
      <c r="I10" s="81" t="s">
        <v>130</v>
      </c>
      <c r="J10" s="79" t="s">
        <v>128</v>
      </c>
      <c r="L10" s="80" t="s">
        <v>131</v>
      </c>
      <c r="M10" s="79" t="s">
        <v>132</v>
      </c>
    </row>
    <row r="11" spans="2:13" ht="21.75" thickTop="1" thickBot="1" x14ac:dyDescent="0.25">
      <c r="B11" s="256" t="s">
        <v>89</v>
      </c>
      <c r="C11" s="257">
        <f>0.0254*C10*1000</f>
        <v>152.39999999999998</v>
      </c>
      <c r="D11" s="44"/>
      <c r="I11" s="81" t="s">
        <v>133</v>
      </c>
      <c r="J11" s="79" t="s">
        <v>134</v>
      </c>
      <c r="L11" s="80" t="s">
        <v>135</v>
      </c>
      <c r="M11" s="79">
        <v>60</v>
      </c>
    </row>
    <row r="12" spans="2:13" ht="21.75" thickTop="1" thickBot="1" x14ac:dyDescent="0.25">
      <c r="I12" s="81" t="s">
        <v>136</v>
      </c>
      <c r="J12" s="79">
        <v>130</v>
      </c>
      <c r="L12" s="80" t="s">
        <v>137</v>
      </c>
      <c r="M12" s="79">
        <v>100</v>
      </c>
    </row>
    <row r="13" spans="2:13" ht="21" thickTop="1" x14ac:dyDescent="0.2">
      <c r="B13" s="485" t="s">
        <v>84</v>
      </c>
      <c r="C13" s="486"/>
      <c r="I13" s="81" t="s">
        <v>138</v>
      </c>
      <c r="J13" s="79" t="s">
        <v>139</v>
      </c>
      <c r="L13" s="80" t="s">
        <v>140</v>
      </c>
      <c r="M13" s="79">
        <v>110</v>
      </c>
    </row>
    <row r="14" spans="2:13" ht="21" thickBot="1" x14ac:dyDescent="0.25">
      <c r="B14" s="245" t="s">
        <v>90</v>
      </c>
      <c r="C14" s="246">
        <f>POWER(100/C7,1.852)*POWER(C9*15.852,1.852)/POWER(C11*0.03937,4.8655)*0.2083 * 304.8 * 3.28</f>
        <v>743.46973881780821</v>
      </c>
      <c r="I14" s="81" t="s">
        <v>141</v>
      </c>
      <c r="J14" s="79" t="s">
        <v>142</v>
      </c>
      <c r="L14" s="80" t="s">
        <v>143</v>
      </c>
      <c r="M14" s="79">
        <v>100</v>
      </c>
    </row>
    <row r="15" spans="2:13" ht="21.75" thickTop="1" thickBot="1" x14ac:dyDescent="0.3">
      <c r="B15" s="247" t="s">
        <v>116</v>
      </c>
      <c r="C15" s="248">
        <f>C14/1000</f>
        <v>0.7434697388178082</v>
      </c>
      <c r="D15" s="471" t="s">
        <v>117</v>
      </c>
      <c r="E15" s="471"/>
      <c r="F15" s="471"/>
      <c r="G15" s="472"/>
      <c r="H15" s="72"/>
      <c r="I15" s="81" t="s">
        <v>144</v>
      </c>
      <c r="J15" s="79" t="s">
        <v>145</v>
      </c>
      <c r="L15" s="80" t="s">
        <v>146</v>
      </c>
      <c r="M15" s="79" t="s">
        <v>147</v>
      </c>
    </row>
    <row r="16" spans="2:13" ht="21" thickTop="1" x14ac:dyDescent="0.2">
      <c r="B16" s="245" t="s">
        <v>91</v>
      </c>
      <c r="C16" s="246">
        <f>+C14*9.81/1000</f>
        <v>7.2934381378026991</v>
      </c>
      <c r="I16" s="81" t="s">
        <v>148</v>
      </c>
      <c r="J16" s="79" t="s">
        <v>149</v>
      </c>
      <c r="L16" s="80" t="s">
        <v>137</v>
      </c>
      <c r="M16" s="79">
        <v>100</v>
      </c>
    </row>
    <row r="17" spans="2:13" x14ac:dyDescent="0.2">
      <c r="B17" s="245" t="s">
        <v>92</v>
      </c>
      <c r="C17" s="246">
        <f>+C14*C6/100</f>
        <v>10408.576343449315</v>
      </c>
      <c r="I17" s="82" t="s">
        <v>150</v>
      </c>
      <c r="J17" s="79">
        <v>100</v>
      </c>
      <c r="L17" s="80" t="s">
        <v>151</v>
      </c>
      <c r="M17" s="79">
        <v>130</v>
      </c>
    </row>
    <row r="18" spans="2:13" ht="21" thickBot="1" x14ac:dyDescent="0.25">
      <c r="B18" s="245" t="s">
        <v>93</v>
      </c>
      <c r="C18" s="246">
        <f>+C17*9.81/1000</f>
        <v>102.10813392923778</v>
      </c>
      <c r="I18" s="81" t="s">
        <v>152</v>
      </c>
      <c r="J18" s="79">
        <v>140</v>
      </c>
      <c r="L18" s="80" t="s">
        <v>153</v>
      </c>
      <c r="M18" s="79">
        <v>110</v>
      </c>
    </row>
    <row r="19" spans="2:13" s="45" customFormat="1" ht="18" customHeight="1" thickTop="1" thickBot="1" x14ac:dyDescent="0.25">
      <c r="B19" s="249" t="s">
        <v>94</v>
      </c>
      <c r="C19" s="250">
        <f>C17/1000</f>
        <v>10.408576343449315</v>
      </c>
      <c r="D19" s="475" t="s">
        <v>574</v>
      </c>
      <c r="E19" s="475"/>
      <c r="F19" s="475"/>
      <c r="G19" s="476"/>
      <c r="H19" s="71"/>
      <c r="I19" s="81" t="s">
        <v>154</v>
      </c>
      <c r="J19" s="79">
        <v>140</v>
      </c>
      <c r="K19" s="43"/>
      <c r="L19" s="80" t="s">
        <v>155</v>
      </c>
      <c r="M19" s="79">
        <v>100</v>
      </c>
    </row>
    <row r="20" spans="2:13" ht="12.75" customHeight="1" thickTop="1" x14ac:dyDescent="0.2">
      <c r="B20" s="481"/>
      <c r="C20" s="482"/>
      <c r="D20" s="45"/>
      <c r="E20" s="45"/>
      <c r="F20" s="45"/>
      <c r="G20" s="45"/>
      <c r="H20" s="45"/>
      <c r="I20" s="81" t="s">
        <v>156</v>
      </c>
      <c r="J20" s="79">
        <v>120</v>
      </c>
      <c r="L20" s="80" t="s">
        <v>157</v>
      </c>
      <c r="M20" s="79">
        <v>120</v>
      </c>
    </row>
    <row r="21" spans="2:13" ht="21" thickBot="1" x14ac:dyDescent="0.25">
      <c r="B21" s="483" t="s">
        <v>85</v>
      </c>
      <c r="C21" s="484"/>
      <c r="I21" s="83" t="s">
        <v>158</v>
      </c>
      <c r="J21" s="84">
        <v>100</v>
      </c>
      <c r="L21" s="85" t="s">
        <v>159</v>
      </c>
      <c r="M21" s="84" t="s">
        <v>160</v>
      </c>
    </row>
    <row r="22" spans="2:13" s="45" customFormat="1" ht="21.75" customHeight="1" thickTop="1" thickBot="1" x14ac:dyDescent="0.35">
      <c r="B22" s="252" t="s">
        <v>86</v>
      </c>
      <c r="C22" s="253">
        <f>(C9/1000)/(PI()*POWER((C11/1000)/2,2))</f>
        <v>0.91366909330919799</v>
      </c>
      <c r="D22" s="470" t="s">
        <v>575</v>
      </c>
      <c r="E22" s="471"/>
      <c r="F22" s="471"/>
      <c r="G22" s="472"/>
      <c r="I22" s="44"/>
      <c r="J22" s="76"/>
      <c r="K22" s="43"/>
      <c r="L22" s="77"/>
      <c r="M22" s="78"/>
    </row>
    <row r="23" spans="2:13" ht="21" thickTop="1" x14ac:dyDescent="0.3"/>
    <row r="42" spans="9:13" ht="12.75" x14ac:dyDescent="0.2">
      <c r="I42" s="43"/>
      <c r="J42" s="43"/>
      <c r="L42" s="43"/>
      <c r="M42" s="43"/>
    </row>
    <row r="43" spans="9:13" ht="12.75" x14ac:dyDescent="0.2">
      <c r="I43" s="43"/>
      <c r="J43" s="43"/>
      <c r="L43" s="43"/>
      <c r="M43" s="43"/>
    </row>
    <row r="44" spans="9:13" ht="12.75" x14ac:dyDescent="0.2">
      <c r="I44" s="43"/>
      <c r="J44" s="43"/>
      <c r="L44" s="43"/>
      <c r="M44" s="43"/>
    </row>
    <row r="45" spans="9:13" ht="12.75" x14ac:dyDescent="0.2">
      <c r="I45" s="43"/>
      <c r="J45" s="43"/>
      <c r="L45" s="43"/>
      <c r="M45" s="43"/>
    </row>
    <row r="46" spans="9:13" ht="12.75" x14ac:dyDescent="0.2">
      <c r="I46" s="43"/>
      <c r="J46" s="43"/>
      <c r="L46" s="43"/>
      <c r="M46" s="43"/>
    </row>
    <row r="47" spans="9:13" ht="12.75" x14ac:dyDescent="0.2">
      <c r="I47" s="43"/>
      <c r="J47" s="43"/>
      <c r="L47" s="43"/>
      <c r="M47" s="43"/>
    </row>
    <row r="48" spans="9:13" ht="12.75" x14ac:dyDescent="0.2">
      <c r="I48" s="43"/>
      <c r="J48" s="43"/>
      <c r="L48" s="43"/>
      <c r="M48" s="43"/>
    </row>
    <row r="49" spans="9:13" ht="12.75" x14ac:dyDescent="0.2">
      <c r="I49" s="43"/>
      <c r="J49" s="43"/>
      <c r="L49" s="43"/>
      <c r="M49" s="43"/>
    </row>
    <row r="50" spans="9:13" ht="12.75" x14ac:dyDescent="0.2">
      <c r="I50" s="43"/>
      <c r="J50" s="43"/>
      <c r="L50" s="43"/>
      <c r="M50" s="43"/>
    </row>
    <row r="51" spans="9:13" ht="12.75" x14ac:dyDescent="0.2">
      <c r="I51" s="43"/>
      <c r="J51" s="43"/>
      <c r="L51" s="43"/>
      <c r="M51" s="43"/>
    </row>
    <row r="52" spans="9:13" ht="12.75" x14ac:dyDescent="0.2">
      <c r="I52" s="43"/>
      <c r="J52" s="43"/>
      <c r="L52" s="43"/>
      <c r="M52" s="43"/>
    </row>
    <row r="53" spans="9:13" ht="12.75" x14ac:dyDescent="0.2">
      <c r="I53" s="43"/>
      <c r="J53" s="43"/>
      <c r="L53" s="43"/>
      <c r="M53" s="43"/>
    </row>
    <row r="54" spans="9:13" ht="12.75" x14ac:dyDescent="0.2">
      <c r="I54" s="43"/>
      <c r="J54" s="43"/>
      <c r="L54" s="43"/>
      <c r="M54" s="43"/>
    </row>
    <row r="55" spans="9:13" ht="12.75" x14ac:dyDescent="0.2">
      <c r="I55" s="43"/>
      <c r="J55" s="43"/>
      <c r="L55" s="43"/>
      <c r="M55" s="43"/>
    </row>
    <row r="56" spans="9:13" ht="12.75" x14ac:dyDescent="0.2">
      <c r="I56" s="43"/>
      <c r="J56" s="43"/>
      <c r="L56" s="43"/>
      <c r="M56" s="43"/>
    </row>
    <row r="57" spans="9:13" ht="12.75" x14ac:dyDescent="0.2">
      <c r="I57" s="43"/>
      <c r="J57" s="43"/>
      <c r="L57" s="43"/>
      <c r="M57" s="43"/>
    </row>
    <row r="58" spans="9:13" ht="12.75" x14ac:dyDescent="0.2">
      <c r="I58" s="43"/>
      <c r="J58" s="43"/>
      <c r="L58" s="43"/>
      <c r="M58" s="43"/>
    </row>
    <row r="59" spans="9:13" ht="12.75" x14ac:dyDescent="0.2">
      <c r="I59" s="43"/>
      <c r="J59" s="43"/>
      <c r="L59" s="43"/>
      <c r="M59" s="43"/>
    </row>
  </sheetData>
  <sheetProtection selectLockedCells="1" selectUnlockedCells="1"/>
  <mergeCells count="15">
    <mergeCell ref="I4:J4"/>
    <mergeCell ref="D22:G22"/>
    <mergeCell ref="B3:C3"/>
    <mergeCell ref="D19:G19"/>
    <mergeCell ref="D15:G15"/>
    <mergeCell ref="D6:G6"/>
    <mergeCell ref="D7:G7"/>
    <mergeCell ref="D8:G8"/>
    <mergeCell ref="D10:G10"/>
    <mergeCell ref="B20:C20"/>
    <mergeCell ref="B21:C21"/>
    <mergeCell ref="B13:C13"/>
    <mergeCell ref="B4:C4"/>
    <mergeCell ref="B5:C5"/>
    <mergeCell ref="E3:G3"/>
  </mergeCells>
  <hyperlinks>
    <hyperlink ref="B1" r:id="rId1" xr:uid="{00000000-0004-0000-0600-000000000000}"/>
    <hyperlink ref="B7" r:id="rId2" xr:uid="{00000000-0004-0000-0600-000001000000}"/>
    <hyperlink ref="E3:G3" r:id="rId3" display="https://inventory.powerzone.com/resources/friction-loss-calculator/%3Afr%3D45%3Afru%3DM3%2FHR%3Avc%3DWater%3Av%3D1%3Avu%3DCENTIPOISE %2F CP%3Asg%3D1%3Apl%3D1400%3Aplu%3DMeters%3Apid%3D4%3Apidu%3DInches%3Ahzc%3DPolyethylene%3Ahzfc%3D140%3Arh%3D0.007%3Arhu%3DMillimeters%3Arflu%3DHEAD M%3Arfvu%3DMeters%2FSec" xr:uid="{DF0C4CCF-5FB6-4640-B62C-567D8B25E7E3}"/>
  </hyperlinks>
  <pageMargins left="0.74791666666666667" right="0.74791666666666667" top="0.98402777777777772" bottom="0.98402777777777772" header="0.51180555555555551" footer="0.51180555555555551"/>
  <pageSetup paperSize="9" firstPageNumber="0" orientation="portrait" horizontalDpi="300" verticalDpi="300"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W42"/>
  <sheetViews>
    <sheetView showGridLines="0" showRowColHeaders="0" topLeftCell="A4" zoomScale="85" zoomScaleNormal="85" workbookViewId="0">
      <selection activeCell="A16" sqref="A16"/>
    </sheetView>
  </sheetViews>
  <sheetFormatPr defaultRowHeight="15" x14ac:dyDescent="0.25"/>
  <cols>
    <col min="1" max="1" width="12.42578125" customWidth="1"/>
    <col min="2" max="2" width="16.140625" customWidth="1"/>
    <col min="3" max="3" width="10.5703125" customWidth="1"/>
    <col min="4" max="4" width="10.7109375" customWidth="1"/>
    <col min="5" max="5" width="11.140625" customWidth="1"/>
    <col min="6" max="6" width="10.85546875" customWidth="1"/>
    <col min="7" max="8" width="10.140625" customWidth="1"/>
    <col min="10" max="10" width="10.42578125" customWidth="1"/>
  </cols>
  <sheetData>
    <row r="1" spans="2:11" ht="15.75" thickBot="1" x14ac:dyDescent="0.3"/>
    <row r="2" spans="2:11" ht="40.5" customHeight="1" thickTop="1" x14ac:dyDescent="0.25">
      <c r="B2" s="507" t="s">
        <v>193</v>
      </c>
      <c r="C2" s="508"/>
      <c r="D2" s="508"/>
      <c r="E2" s="508"/>
      <c r="F2" s="508"/>
      <c r="G2" s="508"/>
      <c r="H2" s="508"/>
      <c r="I2" s="508"/>
      <c r="J2" s="508"/>
      <c r="K2" s="509"/>
    </row>
    <row r="3" spans="2:11" ht="54" customHeight="1" thickBot="1" x14ac:dyDescent="0.3">
      <c r="B3" s="510" t="s">
        <v>197</v>
      </c>
      <c r="C3" s="511"/>
      <c r="D3" s="511"/>
      <c r="E3" s="511"/>
      <c r="F3" s="511"/>
      <c r="G3" s="511"/>
      <c r="H3" s="511"/>
      <c r="I3" s="511"/>
      <c r="J3" s="511"/>
      <c r="K3" s="512"/>
    </row>
    <row r="4" spans="2:11" ht="15.75" thickTop="1" x14ac:dyDescent="0.25">
      <c r="B4" s="96"/>
      <c r="C4" s="97"/>
      <c r="D4" s="97"/>
      <c r="E4" s="97"/>
      <c r="F4" s="97"/>
      <c r="G4" s="97"/>
      <c r="H4" s="97"/>
      <c r="I4" s="97"/>
      <c r="J4" s="97"/>
      <c r="K4" s="97"/>
    </row>
    <row r="5" spans="2:11" ht="15" customHeight="1" x14ac:dyDescent="0.3">
      <c r="C5" s="502" t="s">
        <v>192</v>
      </c>
      <c r="D5" s="502"/>
      <c r="E5" s="502"/>
      <c r="F5" s="502"/>
      <c r="G5" s="502"/>
      <c r="H5" s="502"/>
      <c r="I5" s="502"/>
      <c r="J5" s="502"/>
    </row>
    <row r="6" spans="2:11" ht="21.75" customHeight="1" x14ac:dyDescent="0.25">
      <c r="B6" s="87" t="s">
        <v>161</v>
      </c>
      <c r="C6" s="503" t="s">
        <v>162</v>
      </c>
      <c r="D6" s="504"/>
      <c r="E6" s="504"/>
      <c r="F6" s="504"/>
      <c r="G6" s="504"/>
      <c r="H6" s="504"/>
      <c r="I6" s="504"/>
      <c r="J6" s="504"/>
      <c r="K6" s="505"/>
    </row>
    <row r="7" spans="2:11" ht="15.75" x14ac:dyDescent="0.25">
      <c r="B7" s="88" t="s">
        <v>163</v>
      </c>
      <c r="C7" s="89" t="s">
        <v>164</v>
      </c>
      <c r="D7" s="89" t="s">
        <v>165</v>
      </c>
      <c r="E7" s="89" t="s">
        <v>166</v>
      </c>
      <c r="F7" s="89" t="s">
        <v>167</v>
      </c>
      <c r="G7" s="89" t="s">
        <v>168</v>
      </c>
      <c r="H7" s="89" t="s">
        <v>169</v>
      </c>
      <c r="I7" s="89" t="s">
        <v>170</v>
      </c>
      <c r="J7" s="89" t="s">
        <v>171</v>
      </c>
      <c r="K7" s="89" t="s">
        <v>172</v>
      </c>
    </row>
    <row r="8" spans="2:11" x14ac:dyDescent="0.25">
      <c r="B8" s="90" t="s">
        <v>173</v>
      </c>
      <c r="C8" s="91">
        <v>0.45720000000000005</v>
      </c>
      <c r="D8" s="91">
        <v>0.60960000000000003</v>
      </c>
      <c r="E8" s="91">
        <v>0.68580000000000008</v>
      </c>
      <c r="F8" s="91">
        <v>1.2192000000000001</v>
      </c>
      <c r="G8" s="91">
        <v>1.2192000000000001</v>
      </c>
      <c r="H8" s="91">
        <v>1.8288000000000002</v>
      </c>
      <c r="I8" s="91">
        <v>2.4384000000000001</v>
      </c>
      <c r="J8" s="91">
        <v>2.4384000000000001</v>
      </c>
      <c r="K8" s="91">
        <v>3.6576000000000004</v>
      </c>
    </row>
    <row r="9" spans="2:11" x14ac:dyDescent="0.25">
      <c r="B9" s="92" t="s">
        <v>174</v>
      </c>
      <c r="C9" s="91">
        <v>0.22860000000000003</v>
      </c>
      <c r="D9" s="91">
        <v>0.30480000000000002</v>
      </c>
      <c r="E9" s="91">
        <v>0.42671999999999999</v>
      </c>
      <c r="F9" s="91">
        <v>0.53339999999999999</v>
      </c>
      <c r="G9" s="91">
        <v>0.60960000000000003</v>
      </c>
      <c r="H9" s="91">
        <v>0.76200000000000001</v>
      </c>
      <c r="I9" s="91">
        <v>0.9144000000000001</v>
      </c>
      <c r="J9" s="91">
        <v>1.2192000000000001</v>
      </c>
      <c r="K9" s="91">
        <v>1.524</v>
      </c>
    </row>
    <row r="10" spans="2:11" x14ac:dyDescent="0.25">
      <c r="B10" s="90" t="s">
        <v>175</v>
      </c>
      <c r="C10" s="91">
        <v>0.15240000000000001</v>
      </c>
      <c r="D10" s="91">
        <v>0.22860000000000003</v>
      </c>
      <c r="E10" s="91">
        <v>0.30480000000000002</v>
      </c>
      <c r="F10" s="91">
        <v>0.38100000000000001</v>
      </c>
      <c r="G10" s="91">
        <v>0.45720000000000005</v>
      </c>
      <c r="H10" s="91">
        <v>0.60960000000000003</v>
      </c>
      <c r="I10" s="91">
        <v>0.9144000000000001</v>
      </c>
      <c r="J10" s="91">
        <v>0.9144000000000001</v>
      </c>
      <c r="K10" s="91">
        <v>1.2192000000000001</v>
      </c>
    </row>
    <row r="11" spans="2:11" x14ac:dyDescent="0.25">
      <c r="B11" s="92" t="s">
        <v>176</v>
      </c>
      <c r="C11" s="91">
        <v>9.1440000000000007E-2</v>
      </c>
      <c r="D11" s="91">
        <v>0.12192000000000001</v>
      </c>
      <c r="E11" s="91">
        <v>0.18288000000000001</v>
      </c>
      <c r="F11" s="91">
        <v>0.24384000000000003</v>
      </c>
      <c r="G11" s="91">
        <v>0.30480000000000002</v>
      </c>
      <c r="H11" s="91">
        <v>0.45720000000000005</v>
      </c>
      <c r="I11" s="91">
        <v>0.48768000000000006</v>
      </c>
      <c r="J11" s="91">
        <v>0.60960000000000003</v>
      </c>
      <c r="K11" s="91">
        <v>0.9144000000000001</v>
      </c>
    </row>
    <row r="12" spans="2:11" x14ac:dyDescent="0.25">
      <c r="B12" s="90" t="s">
        <v>177</v>
      </c>
      <c r="C12" s="91">
        <v>0.30480000000000002</v>
      </c>
      <c r="D12" s="91">
        <v>0.45720000000000005</v>
      </c>
      <c r="E12" s="91">
        <v>0.60960000000000003</v>
      </c>
      <c r="F12" s="91">
        <v>0.83820000000000006</v>
      </c>
      <c r="G12" s="91">
        <v>1.0668</v>
      </c>
      <c r="H12" s="91">
        <v>1.3716000000000002</v>
      </c>
      <c r="I12" s="91">
        <v>1.6764000000000001</v>
      </c>
      <c r="J12" s="91">
        <v>1.9812000000000001</v>
      </c>
      <c r="K12" s="91">
        <v>2.8956</v>
      </c>
    </row>
    <row r="13" spans="2:11" x14ac:dyDescent="0.25">
      <c r="B13" s="92" t="s">
        <v>178</v>
      </c>
      <c r="C13" s="91">
        <v>0.30480000000000002</v>
      </c>
      <c r="D13" s="91">
        <v>0.42671999999999999</v>
      </c>
      <c r="E13" s="91">
        <v>0.51816000000000006</v>
      </c>
      <c r="F13" s="91">
        <v>0.70104</v>
      </c>
      <c r="G13" s="91">
        <v>0.82296000000000014</v>
      </c>
      <c r="H13" s="91">
        <v>1.31064</v>
      </c>
      <c r="I13" s="91">
        <v>1.5544799999999999</v>
      </c>
      <c r="J13" s="91">
        <v>1.9202399999999999</v>
      </c>
      <c r="K13" s="91">
        <v>2.5298400000000005</v>
      </c>
    </row>
    <row r="14" spans="2:11" x14ac:dyDescent="0.25">
      <c r="B14" s="90" t="s">
        <v>179</v>
      </c>
      <c r="C14" s="91">
        <v>1.2192000000000001</v>
      </c>
      <c r="D14" s="91">
        <v>1.524</v>
      </c>
      <c r="E14" s="91">
        <v>1.8288000000000002</v>
      </c>
      <c r="F14" s="91">
        <v>2.1335999999999999</v>
      </c>
      <c r="G14" s="91">
        <v>2.4384000000000001</v>
      </c>
      <c r="H14" s="91">
        <v>3.6576000000000004</v>
      </c>
      <c r="I14" s="91">
        <v>4.5720000000000001</v>
      </c>
      <c r="J14" s="91">
        <v>4.8768000000000002</v>
      </c>
      <c r="K14" s="91">
        <v>6.7056000000000004</v>
      </c>
    </row>
    <row r="15" spans="2:11" x14ac:dyDescent="0.25">
      <c r="B15" s="96"/>
      <c r="C15" s="97"/>
      <c r="D15" s="97"/>
      <c r="E15" s="97"/>
      <c r="F15" s="97"/>
      <c r="G15" s="97"/>
      <c r="H15" s="97"/>
      <c r="I15" s="97"/>
      <c r="J15" s="97"/>
      <c r="K15" s="97"/>
    </row>
    <row r="16" spans="2:11" ht="15.75" customHeight="1" x14ac:dyDescent="0.3">
      <c r="B16" s="93"/>
      <c r="C16" s="506" t="s">
        <v>192</v>
      </c>
      <c r="D16" s="506"/>
      <c r="E16" s="506"/>
      <c r="F16" s="506"/>
      <c r="G16" s="506"/>
      <c r="H16" s="506"/>
    </row>
    <row r="17" spans="2:13" x14ac:dyDescent="0.25">
      <c r="B17" s="501" t="s">
        <v>191</v>
      </c>
      <c r="C17" s="501"/>
      <c r="D17" s="501"/>
      <c r="E17" s="501"/>
      <c r="F17" s="501"/>
      <c r="G17" s="501"/>
      <c r="H17" s="501"/>
      <c r="I17" s="501"/>
      <c r="J17" s="501"/>
      <c r="K17" s="501"/>
      <c r="L17" s="501"/>
      <c r="M17" s="501"/>
    </row>
    <row r="18" spans="2:13" ht="15.75" thickBot="1" x14ac:dyDescent="0.3"/>
    <row r="19" spans="2:13" ht="45.75" thickTop="1" x14ac:dyDescent="0.25">
      <c r="B19" s="492" t="s">
        <v>180</v>
      </c>
      <c r="C19" s="98" t="s">
        <v>181</v>
      </c>
      <c r="D19" s="98" t="s">
        <v>182</v>
      </c>
      <c r="E19" s="98" t="s">
        <v>183</v>
      </c>
      <c r="F19" s="98" t="s">
        <v>184</v>
      </c>
      <c r="G19" s="98" t="s">
        <v>185</v>
      </c>
      <c r="H19" s="98" t="s">
        <v>186</v>
      </c>
      <c r="I19" s="200" t="s">
        <v>187</v>
      </c>
      <c r="J19" s="98" t="s">
        <v>188</v>
      </c>
      <c r="K19" s="98" t="s">
        <v>189</v>
      </c>
      <c r="L19" s="99" t="s">
        <v>190</v>
      </c>
      <c r="M19" s="94"/>
    </row>
    <row r="20" spans="2:13" x14ac:dyDescent="0.25">
      <c r="B20" s="493"/>
      <c r="C20" s="491"/>
      <c r="D20" s="491"/>
      <c r="E20" s="491"/>
      <c r="F20" s="491"/>
      <c r="G20" s="491"/>
      <c r="H20" s="491"/>
      <c r="I20" s="491"/>
      <c r="J20" s="491"/>
      <c r="K20" s="491"/>
      <c r="L20" s="500"/>
      <c r="M20" s="94"/>
    </row>
    <row r="21" spans="2:13" x14ac:dyDescent="0.25">
      <c r="B21" s="493"/>
      <c r="C21" s="491"/>
      <c r="D21" s="491"/>
      <c r="E21" s="491"/>
      <c r="F21" s="491"/>
      <c r="G21" s="491"/>
      <c r="H21" s="491"/>
      <c r="I21" s="491"/>
      <c r="J21" s="491"/>
      <c r="K21" s="491"/>
      <c r="L21" s="500"/>
      <c r="M21" s="94"/>
    </row>
    <row r="22" spans="2:13" x14ac:dyDescent="0.25">
      <c r="B22" s="201">
        <v>0.5</v>
      </c>
      <c r="C22" s="202">
        <v>5.4864000000000006</v>
      </c>
      <c r="D22" s="202">
        <v>2.7432000000000003</v>
      </c>
      <c r="E22" s="202">
        <v>2.1335999999999999</v>
      </c>
      <c r="F22" s="202">
        <v>2.1335999999999999</v>
      </c>
      <c r="G22" s="202">
        <v>0.21335999999999999</v>
      </c>
      <c r="H22" s="202">
        <v>1.8288000000000002</v>
      </c>
      <c r="I22" s="202">
        <v>0.9144000000000001</v>
      </c>
      <c r="J22" s="202">
        <v>0.48768000000000006</v>
      </c>
      <c r="K22" s="202">
        <v>0.24384000000000003</v>
      </c>
      <c r="L22" s="203">
        <v>0.9144000000000001</v>
      </c>
      <c r="M22" s="95"/>
    </row>
    <row r="23" spans="2:13" x14ac:dyDescent="0.25">
      <c r="B23" s="201">
        <v>0.75</v>
      </c>
      <c r="C23" s="202">
        <v>6.7056000000000004</v>
      </c>
      <c r="D23" s="202">
        <v>3.3528000000000002</v>
      </c>
      <c r="E23" s="202">
        <v>2.7432000000000003</v>
      </c>
      <c r="F23" s="202">
        <v>2.7432000000000003</v>
      </c>
      <c r="G23" s="202">
        <v>0.27432000000000001</v>
      </c>
      <c r="H23" s="202">
        <v>2.4384000000000001</v>
      </c>
      <c r="I23" s="202">
        <v>1.2192000000000001</v>
      </c>
      <c r="J23" s="202">
        <v>0.60960000000000003</v>
      </c>
      <c r="K23" s="202">
        <v>0.27432000000000001</v>
      </c>
      <c r="L23" s="203">
        <v>1.2192000000000001</v>
      </c>
      <c r="M23" s="95"/>
    </row>
    <row r="24" spans="2:13" x14ac:dyDescent="0.25">
      <c r="B24" s="201">
        <v>1</v>
      </c>
      <c r="C24" s="202">
        <v>8.8391999999999999</v>
      </c>
      <c r="D24" s="202">
        <v>4.5720000000000001</v>
      </c>
      <c r="E24" s="202">
        <v>3.6576000000000004</v>
      </c>
      <c r="F24" s="202">
        <v>3.6576000000000004</v>
      </c>
      <c r="G24" s="202">
        <v>0.30480000000000002</v>
      </c>
      <c r="H24" s="202">
        <v>3.048</v>
      </c>
      <c r="I24" s="202">
        <v>1.524</v>
      </c>
      <c r="J24" s="202">
        <v>0.79248000000000007</v>
      </c>
      <c r="K24" s="202">
        <v>0.39624000000000004</v>
      </c>
      <c r="L24" s="203">
        <v>1.524</v>
      </c>
      <c r="M24" s="95"/>
    </row>
    <row r="25" spans="2:13" x14ac:dyDescent="0.25">
      <c r="B25" s="201">
        <v>1.25</v>
      </c>
      <c r="C25" s="202">
        <v>11.5824</v>
      </c>
      <c r="D25" s="202">
        <v>6.0960000000000001</v>
      </c>
      <c r="E25" s="202">
        <v>4.5720000000000001</v>
      </c>
      <c r="F25" s="202">
        <v>4.5720000000000001</v>
      </c>
      <c r="G25" s="202">
        <v>0.45720000000000005</v>
      </c>
      <c r="H25" s="202">
        <v>4.2671999999999999</v>
      </c>
      <c r="I25" s="202">
        <v>2.7432000000000003</v>
      </c>
      <c r="J25" s="202">
        <v>1.0058400000000001</v>
      </c>
      <c r="K25" s="202">
        <v>0.51816000000000006</v>
      </c>
      <c r="L25" s="203">
        <v>2.1335999999999999</v>
      </c>
      <c r="M25" s="95"/>
    </row>
    <row r="26" spans="2:13" x14ac:dyDescent="0.25">
      <c r="B26" s="201">
        <v>1.5</v>
      </c>
      <c r="C26" s="202">
        <v>13.106400000000001</v>
      </c>
      <c r="D26" s="202">
        <v>7.3152000000000008</v>
      </c>
      <c r="E26" s="202">
        <v>5.4864000000000006</v>
      </c>
      <c r="F26" s="202">
        <v>5.4864000000000006</v>
      </c>
      <c r="G26" s="202">
        <v>0.54864000000000002</v>
      </c>
      <c r="H26" s="202">
        <v>4.8768000000000002</v>
      </c>
      <c r="I26" s="202">
        <v>3.048</v>
      </c>
      <c r="J26" s="202">
        <v>1.2192000000000001</v>
      </c>
      <c r="K26" s="202">
        <v>0.64008000000000009</v>
      </c>
      <c r="L26" s="203">
        <v>2.4384000000000001</v>
      </c>
      <c r="M26" s="95"/>
    </row>
    <row r="27" spans="2:13" x14ac:dyDescent="0.25">
      <c r="B27" s="201">
        <v>2</v>
      </c>
      <c r="C27" s="202">
        <v>16.763999999999999</v>
      </c>
      <c r="D27" s="202">
        <v>9.1440000000000001</v>
      </c>
      <c r="E27" s="202">
        <v>7.3152000000000008</v>
      </c>
      <c r="F27" s="202">
        <v>7.3152000000000008</v>
      </c>
      <c r="G27" s="202">
        <v>0.70104</v>
      </c>
      <c r="H27" s="202">
        <v>6.0960000000000001</v>
      </c>
      <c r="I27" s="202">
        <v>8.2295999999999996</v>
      </c>
      <c r="J27" s="202">
        <v>1.524</v>
      </c>
      <c r="K27" s="202">
        <v>0.79248000000000007</v>
      </c>
      <c r="L27" s="203">
        <v>3.048</v>
      </c>
      <c r="M27" s="95"/>
    </row>
    <row r="28" spans="2:13" x14ac:dyDescent="0.25">
      <c r="B28" s="201">
        <v>2.5</v>
      </c>
      <c r="C28" s="202">
        <v>21.031200000000002</v>
      </c>
      <c r="D28" s="202">
        <v>10.668000000000001</v>
      </c>
      <c r="E28" s="202">
        <v>8.8391999999999999</v>
      </c>
      <c r="F28" s="202">
        <v>8.8391999999999999</v>
      </c>
      <c r="G28" s="202">
        <v>0.85343999999999998</v>
      </c>
      <c r="H28" s="202">
        <v>7.62</v>
      </c>
      <c r="I28" s="202">
        <v>8.5343999999999998</v>
      </c>
      <c r="J28" s="202">
        <v>1.8288000000000002</v>
      </c>
      <c r="K28" s="202">
        <v>0.97536000000000012</v>
      </c>
      <c r="L28" s="203">
        <v>3.6576000000000004</v>
      </c>
      <c r="M28" s="95"/>
    </row>
    <row r="29" spans="2:13" ht="14.25" customHeight="1" x14ac:dyDescent="0.25">
      <c r="B29" s="201">
        <v>3</v>
      </c>
      <c r="C29" s="202">
        <v>25.603200000000001</v>
      </c>
      <c r="D29" s="202">
        <v>13.106400000000001</v>
      </c>
      <c r="E29" s="202">
        <v>10.668000000000001</v>
      </c>
      <c r="F29" s="202">
        <v>10.668000000000001</v>
      </c>
      <c r="G29" s="202">
        <v>0.97536000000000012</v>
      </c>
      <c r="H29" s="202">
        <v>9.1440000000000001</v>
      </c>
      <c r="I29" s="202">
        <v>12.801600000000001</v>
      </c>
      <c r="J29" s="202">
        <v>2.286</v>
      </c>
      <c r="K29" s="202">
        <v>1.2192000000000001</v>
      </c>
      <c r="L29" s="203">
        <v>4.5720000000000001</v>
      </c>
      <c r="M29" s="95"/>
    </row>
    <row r="30" spans="2:13" x14ac:dyDescent="0.25">
      <c r="B30" s="201">
        <v>3.5</v>
      </c>
      <c r="C30" s="202">
        <v>30.48</v>
      </c>
      <c r="D30" s="202">
        <v>15.24</v>
      </c>
      <c r="E30" s="202">
        <v>12.4968</v>
      </c>
      <c r="F30" s="202">
        <v>12.4968</v>
      </c>
      <c r="G30" s="202">
        <v>1.2192000000000001</v>
      </c>
      <c r="H30" s="202">
        <v>10.668000000000001</v>
      </c>
      <c r="I30" s="202">
        <v>14.630400000000002</v>
      </c>
      <c r="J30" s="202">
        <v>2.7432000000000003</v>
      </c>
      <c r="K30" s="202">
        <v>1.4325600000000001</v>
      </c>
      <c r="L30" s="203">
        <v>5.4864000000000006</v>
      </c>
      <c r="M30" s="95"/>
    </row>
    <row r="31" spans="2:13" x14ac:dyDescent="0.25">
      <c r="B31" s="201">
        <v>4</v>
      </c>
      <c r="C31" s="202">
        <v>36.576000000000001</v>
      </c>
      <c r="D31" s="202">
        <v>17.6784</v>
      </c>
      <c r="E31" s="202">
        <v>14.325600000000001</v>
      </c>
      <c r="F31" s="202">
        <v>14.325600000000001</v>
      </c>
      <c r="G31" s="202">
        <v>1.3716000000000002</v>
      </c>
      <c r="H31" s="202">
        <v>12.192</v>
      </c>
      <c r="I31" s="202">
        <v>18.288</v>
      </c>
      <c r="J31" s="202">
        <v>3.048</v>
      </c>
      <c r="K31" s="202">
        <v>1.5849600000000001</v>
      </c>
      <c r="L31" s="203">
        <v>6.4008000000000003</v>
      </c>
      <c r="M31" s="95"/>
    </row>
    <row r="32" spans="2:13" x14ac:dyDescent="0.25">
      <c r="B32" s="201">
        <v>5</v>
      </c>
      <c r="C32" s="202">
        <v>42.672000000000004</v>
      </c>
      <c r="D32" s="202">
        <v>21.640800000000002</v>
      </c>
      <c r="E32" s="202">
        <v>17.6784</v>
      </c>
      <c r="F32" s="202">
        <v>17.6784</v>
      </c>
      <c r="G32" s="202">
        <v>1.8288000000000002</v>
      </c>
      <c r="H32" s="202">
        <v>15.24</v>
      </c>
      <c r="I32" s="202">
        <v>24.384</v>
      </c>
      <c r="J32" s="202">
        <v>3.9624000000000001</v>
      </c>
      <c r="K32" s="202">
        <v>1.9812000000000001</v>
      </c>
      <c r="L32" s="203">
        <v>7.62</v>
      </c>
      <c r="M32" s="95"/>
    </row>
    <row r="33" spans="2:23" x14ac:dyDescent="0.25">
      <c r="B33" s="201">
        <v>6</v>
      </c>
      <c r="C33" s="202">
        <v>51.816000000000003</v>
      </c>
      <c r="D33" s="202">
        <v>26.822400000000002</v>
      </c>
      <c r="E33" s="202">
        <v>21.336000000000002</v>
      </c>
      <c r="F33" s="202">
        <v>21.336000000000002</v>
      </c>
      <c r="G33" s="202">
        <v>2.1335999999999999</v>
      </c>
      <c r="H33" s="202">
        <v>18.288</v>
      </c>
      <c r="I33" s="202">
        <v>33.527999999999999</v>
      </c>
      <c r="J33" s="202">
        <v>4.8768000000000002</v>
      </c>
      <c r="K33" s="202">
        <v>2.4079200000000003</v>
      </c>
      <c r="L33" s="203">
        <v>9.1440000000000001</v>
      </c>
      <c r="M33" s="95"/>
    </row>
    <row r="34" spans="2:23" x14ac:dyDescent="0.25">
      <c r="B34" s="201">
        <v>8</v>
      </c>
      <c r="C34" s="202">
        <v>67.055999999999997</v>
      </c>
      <c r="D34" s="202">
        <v>35.052</v>
      </c>
      <c r="E34" s="202">
        <v>25.908000000000001</v>
      </c>
      <c r="F34" s="202">
        <v>25.908000000000001</v>
      </c>
      <c r="G34" s="202">
        <v>2.7432000000000003</v>
      </c>
      <c r="H34" s="202">
        <v>24.384</v>
      </c>
      <c r="I34" s="202">
        <v>45.72</v>
      </c>
      <c r="J34" s="202">
        <v>6.0960000000000001</v>
      </c>
      <c r="K34" s="202">
        <v>3.048</v>
      </c>
      <c r="L34" s="203">
        <v>12.192</v>
      </c>
      <c r="M34" s="95"/>
    </row>
    <row r="35" spans="2:23" x14ac:dyDescent="0.25">
      <c r="B35" s="201">
        <v>10</v>
      </c>
      <c r="C35" s="202">
        <v>85.344000000000008</v>
      </c>
      <c r="D35" s="202">
        <v>44.196000000000005</v>
      </c>
      <c r="E35" s="202">
        <v>32.004000000000005</v>
      </c>
      <c r="F35" s="202">
        <v>32.004000000000005</v>
      </c>
      <c r="G35" s="202">
        <v>3.6576000000000004</v>
      </c>
      <c r="H35" s="202">
        <v>30.48</v>
      </c>
      <c r="I35" s="202">
        <v>57.912000000000006</v>
      </c>
      <c r="J35" s="202">
        <v>7.62</v>
      </c>
      <c r="K35" s="202">
        <v>3.9624000000000001</v>
      </c>
      <c r="L35" s="203">
        <v>15.24</v>
      </c>
      <c r="M35" s="95"/>
    </row>
    <row r="36" spans="2:23" ht="15.75" thickBot="1" x14ac:dyDescent="0.3">
      <c r="B36" s="201">
        <v>12</v>
      </c>
      <c r="C36" s="202">
        <v>97.536000000000001</v>
      </c>
      <c r="D36" s="202">
        <v>50.292000000000002</v>
      </c>
      <c r="E36" s="202">
        <v>39.624000000000002</v>
      </c>
      <c r="F36" s="202">
        <v>39.624000000000002</v>
      </c>
      <c r="G36" s="202">
        <v>3.9624000000000001</v>
      </c>
      <c r="H36" s="202">
        <v>36.576000000000001</v>
      </c>
      <c r="I36" s="202">
        <v>76.2</v>
      </c>
      <c r="J36" s="202">
        <v>9.1440000000000001</v>
      </c>
      <c r="K36" s="202">
        <v>4.8768000000000002</v>
      </c>
      <c r="L36" s="203">
        <v>18.288</v>
      </c>
      <c r="M36" s="95"/>
    </row>
    <row r="37" spans="2:23" ht="20.25" customHeight="1" thickTop="1" x14ac:dyDescent="0.25">
      <c r="B37" s="201">
        <v>14</v>
      </c>
      <c r="C37" s="202">
        <v>109.72800000000001</v>
      </c>
      <c r="D37" s="202">
        <v>56.388000000000005</v>
      </c>
      <c r="E37" s="202">
        <v>47.244</v>
      </c>
      <c r="F37" s="202">
        <v>47.244</v>
      </c>
      <c r="G37" s="202">
        <v>4.5720000000000001</v>
      </c>
      <c r="H37" s="202">
        <v>41.148000000000003</v>
      </c>
      <c r="I37" s="202"/>
      <c r="J37" s="202">
        <v>10.363200000000001</v>
      </c>
      <c r="K37" s="202">
        <v>5.4864000000000006</v>
      </c>
      <c r="L37" s="203">
        <v>20.726400000000002</v>
      </c>
      <c r="M37" s="95"/>
      <c r="N37" s="494" t="s">
        <v>198</v>
      </c>
      <c r="O37" s="495"/>
      <c r="P37" s="495"/>
      <c r="Q37" s="495"/>
      <c r="R37" s="495"/>
      <c r="S37" s="495"/>
      <c r="T37" s="495"/>
      <c r="U37" s="495"/>
      <c r="V37" s="495"/>
      <c r="W37" s="496"/>
    </row>
    <row r="38" spans="2:23" ht="24" customHeight="1" thickBot="1" x14ac:dyDescent="0.3">
      <c r="B38" s="201">
        <v>16</v>
      </c>
      <c r="C38" s="202">
        <v>124.968</v>
      </c>
      <c r="D38" s="202">
        <v>64.00800000000001</v>
      </c>
      <c r="E38" s="202">
        <v>54.864000000000004</v>
      </c>
      <c r="F38" s="202">
        <v>54.864000000000004</v>
      </c>
      <c r="G38" s="202">
        <v>5.1816000000000004</v>
      </c>
      <c r="H38" s="202">
        <v>45.72</v>
      </c>
      <c r="I38" s="202"/>
      <c r="J38" s="202">
        <v>11.5824</v>
      </c>
      <c r="K38" s="202">
        <v>6.0960000000000001</v>
      </c>
      <c r="L38" s="203">
        <v>23.7744</v>
      </c>
      <c r="M38" s="95"/>
      <c r="N38" s="497"/>
      <c r="O38" s="498"/>
      <c r="P38" s="498"/>
      <c r="Q38" s="498"/>
      <c r="R38" s="498"/>
      <c r="S38" s="498"/>
      <c r="T38" s="498"/>
      <c r="U38" s="498"/>
      <c r="V38" s="498"/>
      <c r="W38" s="499"/>
    </row>
    <row r="39" spans="2:23" ht="15.75" thickTop="1" x14ac:dyDescent="0.25">
      <c r="B39" s="201">
        <v>18</v>
      </c>
      <c r="C39" s="202">
        <v>140.208</v>
      </c>
      <c r="D39" s="202">
        <v>73.152000000000001</v>
      </c>
      <c r="E39" s="202">
        <v>60.96</v>
      </c>
      <c r="F39" s="202">
        <v>60.96</v>
      </c>
      <c r="G39" s="202">
        <v>5.7911999999999999</v>
      </c>
      <c r="H39" s="202">
        <v>50.292000000000002</v>
      </c>
      <c r="I39" s="202"/>
      <c r="J39" s="202">
        <v>12.801600000000001</v>
      </c>
      <c r="K39" s="202">
        <v>7.0104000000000006</v>
      </c>
      <c r="L39" s="203">
        <v>25.908000000000001</v>
      </c>
      <c r="M39" s="95"/>
    </row>
    <row r="40" spans="2:23" x14ac:dyDescent="0.25">
      <c r="B40" s="201">
        <v>20</v>
      </c>
      <c r="C40" s="202">
        <v>158.49600000000001</v>
      </c>
      <c r="D40" s="202">
        <v>83.820000000000007</v>
      </c>
      <c r="E40" s="202">
        <v>71.628</v>
      </c>
      <c r="F40" s="202">
        <v>71.628</v>
      </c>
      <c r="G40" s="202">
        <v>6.7056000000000004</v>
      </c>
      <c r="H40" s="202">
        <v>60.96</v>
      </c>
      <c r="I40" s="202"/>
      <c r="J40" s="202">
        <v>15.24</v>
      </c>
      <c r="K40" s="202">
        <v>7.9248000000000003</v>
      </c>
      <c r="L40" s="203">
        <v>30.48</v>
      </c>
      <c r="M40" s="95"/>
    </row>
    <row r="41" spans="2:23" ht="15.75" thickBot="1" x14ac:dyDescent="0.3">
      <c r="B41" s="204">
        <v>24</v>
      </c>
      <c r="C41" s="205">
        <v>185.928</v>
      </c>
      <c r="D41" s="205">
        <v>97.536000000000001</v>
      </c>
      <c r="E41" s="205">
        <v>80.772000000000006</v>
      </c>
      <c r="F41" s="205">
        <v>80.772000000000006</v>
      </c>
      <c r="G41" s="205">
        <v>7.62</v>
      </c>
      <c r="H41" s="205">
        <v>73.152000000000001</v>
      </c>
      <c r="I41" s="205"/>
      <c r="J41" s="205">
        <v>18.288</v>
      </c>
      <c r="K41" s="205">
        <v>9.1440000000000001</v>
      </c>
      <c r="L41" s="206">
        <v>35.052</v>
      </c>
      <c r="M41" s="95"/>
    </row>
    <row r="42" spans="2:23" ht="15.75" thickTop="1" x14ac:dyDescent="0.25"/>
  </sheetData>
  <mergeCells count="18">
    <mergeCell ref="B17:M17"/>
    <mergeCell ref="C5:J5"/>
    <mergeCell ref="C6:K6"/>
    <mergeCell ref="C16:H16"/>
    <mergeCell ref="B2:K2"/>
    <mergeCell ref="B3:K3"/>
    <mergeCell ref="N37:W38"/>
    <mergeCell ref="I20:I21"/>
    <mergeCell ref="J20:J21"/>
    <mergeCell ref="K20:K21"/>
    <mergeCell ref="L20:L21"/>
    <mergeCell ref="G20:G21"/>
    <mergeCell ref="H20:H21"/>
    <mergeCell ref="B19:B21"/>
    <mergeCell ref="C20:C21"/>
    <mergeCell ref="D20:D21"/>
    <mergeCell ref="E20:E21"/>
    <mergeCell ref="F20:F2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5"/>
  <sheetViews>
    <sheetView showGridLines="0" showRowColHeaders="0" zoomScale="115" zoomScaleNormal="115" workbookViewId="0">
      <selection activeCell="C5" sqref="C5"/>
    </sheetView>
  </sheetViews>
  <sheetFormatPr defaultRowHeight="15" x14ac:dyDescent="0.25"/>
  <cols>
    <col min="1" max="2" width="2.140625" customWidth="1"/>
    <col min="3" max="3" width="36.28515625" customWidth="1"/>
    <col min="4" max="4" width="14.7109375" customWidth="1"/>
    <col min="5" max="5" width="17.42578125" customWidth="1"/>
    <col min="6" max="6" width="61" customWidth="1"/>
    <col min="7" max="7" width="8.7109375" customWidth="1"/>
    <col min="8" max="8" width="12.85546875" customWidth="1"/>
    <col min="9" max="9" width="22.140625" customWidth="1"/>
    <col min="10" max="10" width="15.140625" style="16" customWidth="1"/>
    <col min="12" max="12" width="33.42578125" customWidth="1"/>
    <col min="13" max="13" width="14.42578125" customWidth="1"/>
    <col min="14" max="14" width="16" customWidth="1"/>
    <col min="15" max="15" width="9.7109375" customWidth="1"/>
  </cols>
  <sheetData>
    <row r="1" spans="3:11" ht="6.75" customHeight="1" thickBot="1" x14ac:dyDescent="0.3"/>
    <row r="2" spans="3:11" ht="42" customHeight="1" thickTop="1" thickBot="1" x14ac:dyDescent="0.3">
      <c r="C2" s="521" t="s">
        <v>11</v>
      </c>
      <c r="D2" s="522"/>
      <c r="E2" s="523"/>
      <c r="F2" s="357" t="s">
        <v>600</v>
      </c>
      <c r="G2" s="2"/>
      <c r="K2" s="2"/>
    </row>
    <row r="3" spans="3:11" ht="30" customHeight="1" thickTop="1" thickBot="1" x14ac:dyDescent="0.3">
      <c r="C3" s="11" t="s">
        <v>194</v>
      </c>
      <c r="D3" s="392">
        <f>'لوحة الإدخال الرئيسية'!C16</f>
        <v>41.449433977794243</v>
      </c>
      <c r="E3" s="13" t="s">
        <v>20</v>
      </c>
      <c r="F3" s="357" t="s">
        <v>599</v>
      </c>
    </row>
    <row r="4" spans="3:11" ht="30" customHeight="1" thickTop="1" thickBot="1" x14ac:dyDescent="0.3">
      <c r="C4" s="11" t="s">
        <v>583</v>
      </c>
      <c r="D4" s="392">
        <f>'حساب قطر الأنابيب'!D3</f>
        <v>60</v>
      </c>
      <c r="E4" s="13" t="s">
        <v>354</v>
      </c>
      <c r="F4" s="358" t="s">
        <v>608</v>
      </c>
    </row>
    <row r="5" spans="3:11" ht="30" customHeight="1" thickTop="1" thickBot="1" x14ac:dyDescent="0.3">
      <c r="C5" s="11" t="s">
        <v>605</v>
      </c>
      <c r="D5" s="353">
        <v>0.7</v>
      </c>
      <c r="E5" s="13" t="s">
        <v>606</v>
      </c>
      <c r="F5" s="358" t="s">
        <v>607</v>
      </c>
    </row>
    <row r="6" spans="3:11" ht="30" customHeight="1" thickTop="1" thickBot="1" x14ac:dyDescent="0.3">
      <c r="C6" s="11" t="s">
        <v>609</v>
      </c>
      <c r="D6" s="353">
        <v>0.9</v>
      </c>
      <c r="E6" s="13" t="s">
        <v>606</v>
      </c>
      <c r="F6" s="358" t="s">
        <v>610</v>
      </c>
    </row>
    <row r="7" spans="3:11" ht="30" customHeight="1" thickTop="1" thickBot="1" x14ac:dyDescent="0.3">
      <c r="C7" s="6" t="s">
        <v>582</v>
      </c>
      <c r="D7" s="7">
        <f>20*D4</f>
        <v>1200</v>
      </c>
      <c r="E7" s="8" t="s">
        <v>355</v>
      </c>
      <c r="F7" s="358" t="s">
        <v>601</v>
      </c>
    </row>
    <row r="8" spans="3:11" ht="30" customHeight="1" thickTop="1" thickBot="1" x14ac:dyDescent="0.3">
      <c r="C8" s="6" t="s">
        <v>2</v>
      </c>
      <c r="D8" s="288">
        <f>D3*D4/(102*3.6*D5)</f>
        <v>9.6754047567213473</v>
      </c>
      <c r="E8" s="8" t="s">
        <v>3</v>
      </c>
      <c r="F8" s="358" t="s">
        <v>602</v>
      </c>
    </row>
    <row r="9" spans="3:11" ht="30" customHeight="1" thickTop="1" thickBot="1" x14ac:dyDescent="0.3">
      <c r="C9" s="6" t="s">
        <v>2</v>
      </c>
      <c r="D9" s="288">
        <f>D8*1.341</f>
        <v>12.974717778763326</v>
      </c>
      <c r="E9" s="8" t="s">
        <v>4</v>
      </c>
      <c r="F9" s="358" t="s">
        <v>602</v>
      </c>
    </row>
    <row r="10" spans="3:11" ht="30" customHeight="1" thickTop="1" thickBot="1" x14ac:dyDescent="0.3">
      <c r="C10" s="6" t="s">
        <v>0</v>
      </c>
      <c r="D10" s="288">
        <f>D3*D4/(75*3.6*D5*D6)</f>
        <v>14.620611632378923</v>
      </c>
      <c r="E10" s="8" t="s">
        <v>4</v>
      </c>
      <c r="F10" s="358" t="s">
        <v>603</v>
      </c>
    </row>
    <row r="11" spans="3:11" ht="30" customHeight="1" thickTop="1" thickBot="1" x14ac:dyDescent="0.3">
      <c r="C11" s="63" t="s">
        <v>1</v>
      </c>
      <c r="D11" s="289">
        <f>D3*D4/(102*3.6*D5*D6)</f>
        <v>10.750449729690384</v>
      </c>
      <c r="E11" s="64" t="s">
        <v>3</v>
      </c>
      <c r="F11" s="358" t="s">
        <v>603</v>
      </c>
    </row>
    <row r="12" spans="3:11" ht="30" customHeight="1" thickTop="1" thickBot="1" x14ac:dyDescent="0.3">
      <c r="C12" s="5" t="s">
        <v>6</v>
      </c>
      <c r="D12" s="350">
        <f>2*D11/0.8</f>
        <v>26.876124324225959</v>
      </c>
      <c r="E12" s="9" t="s">
        <v>7</v>
      </c>
      <c r="F12" s="358" t="s">
        <v>604</v>
      </c>
    </row>
    <row r="13" spans="3:11" ht="30" customHeight="1" thickTop="1" thickBot="1" x14ac:dyDescent="0.3"/>
    <row r="14" spans="3:11" ht="30" customHeight="1" thickTop="1" thickBot="1" x14ac:dyDescent="0.3">
      <c r="C14" s="524" t="s">
        <v>578</v>
      </c>
      <c r="D14" s="522"/>
      <c r="E14" s="523"/>
    </row>
    <row r="15" spans="3:11" ht="30" customHeight="1" thickTop="1" thickBot="1" x14ac:dyDescent="0.3">
      <c r="C15" s="11" t="s">
        <v>584</v>
      </c>
      <c r="D15" s="290">
        <f>D11*1.3</f>
        <v>13.975584648597501</v>
      </c>
      <c r="E15" s="13" t="s">
        <v>7</v>
      </c>
      <c r="F15" s="358" t="s">
        <v>613</v>
      </c>
    </row>
    <row r="16" spans="3:11" ht="30" customHeight="1" thickTop="1" thickBot="1" x14ac:dyDescent="0.3">
      <c r="C16" s="11" t="s">
        <v>612</v>
      </c>
      <c r="D16" s="290">
        <v>0.22</v>
      </c>
      <c r="E16" s="13" t="s">
        <v>611</v>
      </c>
      <c r="F16" s="358" t="s">
        <v>614</v>
      </c>
    </row>
    <row r="17" spans="3:14" ht="30" customHeight="1" thickTop="1" thickBot="1" x14ac:dyDescent="0.3">
      <c r="C17" s="337" t="s">
        <v>14</v>
      </c>
      <c r="D17" s="291">
        <f>D15*0.8*0.22</f>
        <v>2.4597028981531603</v>
      </c>
      <c r="E17" s="338" t="s">
        <v>12</v>
      </c>
      <c r="F17" s="358" t="s">
        <v>617</v>
      </c>
    </row>
    <row r="18" spans="3:14" ht="30" customHeight="1" thickTop="1" thickBot="1" x14ac:dyDescent="0.3">
      <c r="C18" s="354" t="s">
        <v>15</v>
      </c>
      <c r="D18" s="292">
        <f>'لوحة الإدخال الرئيسية'!C25</f>
        <v>20</v>
      </c>
      <c r="E18" s="355" t="s">
        <v>16</v>
      </c>
      <c r="F18" s="358" t="s">
        <v>615</v>
      </c>
    </row>
    <row r="19" spans="3:14" ht="30" customHeight="1" thickTop="1" thickBot="1" x14ac:dyDescent="0.3">
      <c r="C19" s="6" t="s">
        <v>13</v>
      </c>
      <c r="D19" s="293">
        <f>D17*D18</f>
        <v>49.194057963063209</v>
      </c>
      <c r="E19" s="339" t="s">
        <v>17</v>
      </c>
      <c r="F19" s="358" t="s">
        <v>618</v>
      </c>
    </row>
    <row r="20" spans="3:14" ht="30" customHeight="1" thickTop="1" thickBot="1" x14ac:dyDescent="0.3">
      <c r="C20" s="6" t="s">
        <v>18</v>
      </c>
      <c r="D20" s="293">
        <f>D19*30</f>
        <v>1475.8217388918963</v>
      </c>
      <c r="E20" s="339" t="s">
        <v>19</v>
      </c>
      <c r="F20" s="358" t="s">
        <v>619</v>
      </c>
    </row>
    <row r="21" spans="3:14" ht="30" customHeight="1" thickTop="1" thickBot="1" x14ac:dyDescent="0.3">
      <c r="C21" s="29" t="s">
        <v>26</v>
      </c>
      <c r="D21" s="290">
        <f>'لوحة الإدخال الرئيسية'!C12</f>
        <v>0.65</v>
      </c>
      <c r="E21" s="113" t="s">
        <v>621</v>
      </c>
      <c r="F21" s="358" t="s">
        <v>616</v>
      </c>
    </row>
    <row r="22" spans="3:14" ht="30" customHeight="1" thickTop="1" thickBot="1" x14ac:dyDescent="0.3">
      <c r="C22" s="61" t="s">
        <v>27</v>
      </c>
      <c r="D22" s="294">
        <f>D20*D21</f>
        <v>959.28413027973261</v>
      </c>
      <c r="E22" s="62" t="s">
        <v>585</v>
      </c>
      <c r="F22" s="358" t="s">
        <v>620</v>
      </c>
    </row>
    <row r="23" spans="3:14" ht="28.5" customHeight="1" thickTop="1" thickBot="1" x14ac:dyDescent="0.3"/>
    <row r="24" spans="3:14" ht="24.75" customHeight="1" thickTop="1" x14ac:dyDescent="0.35">
      <c r="C24" s="540" t="s">
        <v>195</v>
      </c>
      <c r="D24" s="541"/>
      <c r="E24" s="541"/>
      <c r="F24" s="542"/>
    </row>
    <row r="25" spans="3:14" ht="24.75" customHeight="1" thickBot="1" x14ac:dyDescent="0.3">
      <c r="C25" s="531" t="s">
        <v>196</v>
      </c>
      <c r="D25" s="532"/>
      <c r="E25" s="532"/>
      <c r="F25" s="533"/>
    </row>
    <row r="26" spans="3:14" ht="24.75" customHeight="1" thickTop="1" thickBot="1" x14ac:dyDescent="0.3">
      <c r="C26" s="506"/>
      <c r="D26" s="506"/>
      <c r="E26" s="506"/>
    </row>
    <row r="27" spans="3:14" ht="24.75" customHeight="1" thickTop="1" x14ac:dyDescent="0.25">
      <c r="C27" s="534" t="s">
        <v>552</v>
      </c>
      <c r="D27" s="535"/>
      <c r="E27" s="535"/>
      <c r="F27" s="536"/>
    </row>
    <row r="28" spans="3:14" ht="24.75" customHeight="1" thickBot="1" x14ac:dyDescent="0.3">
      <c r="C28" s="537"/>
      <c r="D28" s="538"/>
      <c r="E28" s="538"/>
      <c r="F28" s="539"/>
    </row>
    <row r="29" spans="3:14" ht="24.75" customHeight="1" thickTop="1" thickBot="1" x14ac:dyDescent="0.35">
      <c r="C29" s="506"/>
      <c r="D29" s="506"/>
      <c r="E29" s="506"/>
      <c r="M29" s="519" t="s">
        <v>77</v>
      </c>
      <c r="N29" s="520"/>
    </row>
    <row r="30" spans="3:14" ht="24.75" customHeight="1" thickTop="1" x14ac:dyDescent="0.25">
      <c r="C30" s="525" t="s">
        <v>95</v>
      </c>
      <c r="D30" s="526"/>
      <c r="E30" s="526"/>
      <c r="F30" s="527"/>
      <c r="M30" s="27" t="s">
        <v>69</v>
      </c>
      <c r="N30" s="295">
        <v>1</v>
      </c>
    </row>
    <row r="31" spans="3:14" ht="24.75" customHeight="1" thickBot="1" x14ac:dyDescent="0.3">
      <c r="C31" s="528"/>
      <c r="D31" s="529"/>
      <c r="E31" s="529"/>
      <c r="F31" s="530"/>
      <c r="M31" s="39" t="s">
        <v>70</v>
      </c>
      <c r="N31" s="40">
        <f>N30*0.0254</f>
        <v>2.5399999999999999E-2</v>
      </c>
    </row>
    <row r="32" spans="3:14" ht="24" customHeight="1" thickTop="1" thickBot="1" x14ac:dyDescent="0.3">
      <c r="C32" s="506"/>
      <c r="D32" s="506"/>
      <c r="E32" s="506"/>
    </row>
    <row r="33" spans="3:6" ht="15.75" customHeight="1" thickTop="1" x14ac:dyDescent="0.25">
      <c r="C33" s="513" t="s">
        <v>114</v>
      </c>
      <c r="D33" s="514"/>
      <c r="E33" s="514"/>
      <c r="F33" s="515"/>
    </row>
    <row r="34" spans="3:6" ht="26.25" customHeight="1" thickBot="1" x14ac:dyDescent="0.3">
      <c r="C34" s="516"/>
      <c r="D34" s="517"/>
      <c r="E34" s="517"/>
      <c r="F34" s="518"/>
    </row>
    <row r="35" spans="3:6" ht="15.75" thickTop="1" x14ac:dyDescent="0.25"/>
  </sheetData>
  <mergeCells count="11">
    <mergeCell ref="C33:F34"/>
    <mergeCell ref="M29:N29"/>
    <mergeCell ref="C2:E2"/>
    <mergeCell ref="C14:E14"/>
    <mergeCell ref="C26:E26"/>
    <mergeCell ref="C32:E32"/>
    <mergeCell ref="C29:E29"/>
    <mergeCell ref="C30:F31"/>
    <mergeCell ref="C25:F25"/>
    <mergeCell ref="C27:F28"/>
    <mergeCell ref="C24:F24"/>
  </mergeCells>
  <hyperlinks>
    <hyperlink ref="C33" r:id="rId1" display="http://www.unitconverters.net/flow-converter.html" xr:uid="{00000000-0004-0000-0000-000000000000}"/>
  </hyperlinks>
  <pageMargins left="0.7" right="0.7" top="0.75" bottom="0.75" header="0.3" footer="0.3"/>
  <pageSetup orientation="portrait"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4CD60-D359-449F-890B-676556F57A86}">
  <dimension ref="B1:V42"/>
  <sheetViews>
    <sheetView zoomScale="85" zoomScaleNormal="85" workbookViewId="0">
      <selection activeCell="E6" sqref="E6"/>
    </sheetView>
  </sheetViews>
  <sheetFormatPr defaultRowHeight="15" x14ac:dyDescent="0.25"/>
  <cols>
    <col min="1" max="1" width="1.7109375" customWidth="1"/>
    <col min="2" max="2" width="34.85546875" style="304" customWidth="1"/>
    <col min="3" max="3" width="51.85546875" style="304" customWidth="1"/>
    <col min="4" max="4" width="16.140625" customWidth="1"/>
    <col min="5" max="5" width="10" customWidth="1"/>
    <col min="7" max="17" width="6.7109375" customWidth="1"/>
    <col min="20" max="20" width="13" customWidth="1"/>
    <col min="22" max="22" width="39.42578125" customWidth="1"/>
  </cols>
  <sheetData>
    <row r="1" spans="2:22" ht="33" customHeight="1" thickTop="1" thickBot="1" x14ac:dyDescent="0.3">
      <c r="B1" s="547" t="s">
        <v>566</v>
      </c>
      <c r="C1" s="548"/>
      <c r="D1" s="549"/>
    </row>
    <row r="2" spans="2:22" ht="26.25" customHeight="1" thickTop="1" x14ac:dyDescent="0.35">
      <c r="B2" s="407" t="s">
        <v>695</v>
      </c>
      <c r="C2" s="408" t="s">
        <v>697</v>
      </c>
      <c r="D2" s="409" t="s">
        <v>696</v>
      </c>
      <c r="F2" s="410" t="s">
        <v>698</v>
      </c>
      <c r="G2" s="331">
        <v>50</v>
      </c>
      <c r="H2" s="331">
        <v>45</v>
      </c>
      <c r="I2" s="331">
        <v>40</v>
      </c>
      <c r="J2" s="331">
        <v>35</v>
      </c>
      <c r="K2" s="331">
        <v>30</v>
      </c>
      <c r="L2" s="331">
        <v>25</v>
      </c>
      <c r="M2" s="331">
        <v>20</v>
      </c>
      <c r="N2" s="331">
        <v>15</v>
      </c>
      <c r="O2" s="331">
        <v>10</v>
      </c>
      <c r="P2" s="331">
        <v>5</v>
      </c>
      <c r="Q2" s="331">
        <v>0</v>
      </c>
      <c r="R2" s="346" t="s">
        <v>5</v>
      </c>
      <c r="S2" s="559" t="s">
        <v>569</v>
      </c>
      <c r="T2" s="560"/>
      <c r="V2" s="345" t="s">
        <v>579</v>
      </c>
    </row>
    <row r="3" spans="2:22" ht="21.95" customHeight="1" x14ac:dyDescent="0.3">
      <c r="B3" s="340" t="s">
        <v>358</v>
      </c>
      <c r="C3" s="341" t="s">
        <v>690</v>
      </c>
      <c r="D3" s="297">
        <f>'لوحة الإدخال الرئيسية'!C7</f>
        <v>1400</v>
      </c>
      <c r="F3" s="411" t="s">
        <v>699</v>
      </c>
      <c r="G3" s="207">
        <v>32</v>
      </c>
      <c r="H3" s="207">
        <v>36</v>
      </c>
      <c r="I3" s="207">
        <v>39</v>
      </c>
      <c r="J3" s="207">
        <v>41.5</v>
      </c>
      <c r="K3" s="207">
        <v>43.5</v>
      </c>
      <c r="L3" s="207">
        <v>45.5</v>
      </c>
      <c r="M3" s="207">
        <v>47</v>
      </c>
      <c r="N3" s="207">
        <v>48</v>
      </c>
      <c r="O3" s="207">
        <v>49</v>
      </c>
      <c r="P3" s="207">
        <v>50</v>
      </c>
      <c r="Q3" s="207">
        <v>51</v>
      </c>
      <c r="R3" s="347" t="s">
        <v>564</v>
      </c>
      <c r="S3" s="545" t="s">
        <v>571</v>
      </c>
      <c r="T3" s="546"/>
      <c r="V3" s="345" t="s">
        <v>579</v>
      </c>
    </row>
    <row r="4" spans="2:22" ht="21.95" customHeight="1" thickBot="1" x14ac:dyDescent="0.3">
      <c r="B4" s="340" t="s">
        <v>564</v>
      </c>
      <c r="C4" s="341" t="s">
        <v>691</v>
      </c>
      <c r="D4" s="297">
        <f>'لوحة الإدخال الرئيسية'!C9</f>
        <v>30</v>
      </c>
      <c r="F4" s="412" t="s">
        <v>567</v>
      </c>
      <c r="G4" s="344">
        <f t="shared" ref="G4:N4" si="0">D40</f>
        <v>38.168463060964385</v>
      </c>
      <c r="H4" s="344">
        <f t="shared" si="0"/>
        <v>36.720436423126053</v>
      </c>
      <c r="I4" s="344">
        <f t="shared" si="0"/>
        <v>35.403348825948292</v>
      </c>
      <c r="J4" s="344">
        <f t="shared" si="0"/>
        <v>34.219509019409202</v>
      </c>
      <c r="K4" s="344">
        <f t="shared" si="0"/>
        <v>33.171585803034951</v>
      </c>
      <c r="L4" s="344">
        <f t="shared" si="0"/>
        <v>32.262730325972072</v>
      </c>
      <c r="M4" s="344">
        <f t="shared" si="0"/>
        <v>31.49677132148717</v>
      </c>
      <c r="N4" s="344">
        <f t="shared" si="0"/>
        <v>30.878554915947973</v>
      </c>
      <c r="O4" s="344">
        <f t="shared" ref="O4" si="1">L40</f>
        <v>30.414617760391078</v>
      </c>
      <c r="P4" s="344">
        <f t="shared" ref="P4" si="2">M40</f>
        <v>30.114852472628158</v>
      </c>
      <c r="Q4" s="344">
        <f t="shared" ref="Q4" si="3">N40</f>
        <v>30</v>
      </c>
      <c r="R4" s="348" t="s">
        <v>564</v>
      </c>
      <c r="S4" s="561" t="s">
        <v>570</v>
      </c>
      <c r="T4" s="562"/>
      <c r="V4" s="345" t="s">
        <v>580</v>
      </c>
    </row>
    <row r="5" spans="2:22" ht="41.25" customHeight="1" thickTop="1" thickBot="1" x14ac:dyDescent="0.3">
      <c r="B5" s="340" t="s">
        <v>568</v>
      </c>
      <c r="C5" s="406" t="s">
        <v>694</v>
      </c>
      <c r="D5" s="297">
        <f>'حساب قطر الأنابيب'!D9</f>
        <v>6</v>
      </c>
    </row>
    <row r="6" spans="2:22" ht="22.5" customHeight="1" thickTop="1" x14ac:dyDescent="0.25">
      <c r="B6" s="349" t="s">
        <v>572</v>
      </c>
      <c r="C6" s="341" t="s">
        <v>692</v>
      </c>
      <c r="D6" s="297">
        <f>'لوحة الإدخال الرئيسية'!C8</f>
        <v>120</v>
      </c>
      <c r="F6" s="552" t="s">
        <v>95</v>
      </c>
      <c r="G6" s="553"/>
      <c r="H6" s="553"/>
      <c r="I6" s="553"/>
      <c r="J6" s="553"/>
      <c r="K6" s="553"/>
      <c r="L6" s="553"/>
      <c r="M6" s="553"/>
      <c r="N6" s="553"/>
      <c r="O6" s="553"/>
      <c r="P6" s="553"/>
      <c r="Q6" s="553"/>
      <c r="R6" s="554"/>
    </row>
    <row r="7" spans="2:22" ht="48.75" customHeight="1" thickBot="1" x14ac:dyDescent="0.3">
      <c r="B7" s="342" t="s">
        <v>564</v>
      </c>
      <c r="C7" s="405" t="s">
        <v>693</v>
      </c>
      <c r="D7" s="303">
        <f>D3*0.1</f>
        <v>140</v>
      </c>
      <c r="F7" s="555"/>
      <c r="G7" s="556"/>
      <c r="H7" s="556"/>
      <c r="I7" s="556"/>
      <c r="J7" s="556"/>
      <c r="K7" s="556"/>
      <c r="L7" s="556"/>
      <c r="M7" s="556"/>
      <c r="N7" s="556"/>
      <c r="O7" s="556"/>
      <c r="P7" s="556"/>
      <c r="Q7" s="556"/>
      <c r="R7" s="557"/>
    </row>
    <row r="8" spans="2:22" ht="21.95" customHeight="1" thickTop="1" x14ac:dyDescent="0.25">
      <c r="B8"/>
      <c r="C8"/>
    </row>
    <row r="9" spans="2:22" ht="21.95" customHeight="1" x14ac:dyDescent="0.25">
      <c r="B9"/>
      <c r="C9"/>
    </row>
    <row r="10" spans="2:22" ht="111" customHeight="1" x14ac:dyDescent="0.25"/>
    <row r="11" spans="2:22" ht="32.25" customHeight="1" x14ac:dyDescent="0.25"/>
    <row r="12" spans="2:22" ht="32.25" customHeight="1" x14ac:dyDescent="0.25"/>
    <row r="13" spans="2:22" ht="32.25" customHeight="1" x14ac:dyDescent="0.25">
      <c r="B13"/>
      <c r="C13"/>
    </row>
    <row r="14" spans="2:22" ht="32.25" customHeight="1" x14ac:dyDescent="0.25"/>
    <row r="15" spans="2:22" ht="32.25" customHeight="1" x14ac:dyDescent="0.25"/>
    <row r="16" spans="2:22" ht="54.75" customHeight="1" x14ac:dyDescent="0.25"/>
    <row r="17" spans="2:19" ht="16.5" thickBot="1" x14ac:dyDescent="0.3">
      <c r="B17" s="550"/>
      <c r="C17" s="550"/>
      <c r="D17" s="550"/>
      <c r="N17" s="2"/>
      <c r="O17" s="2"/>
      <c r="P17" s="2"/>
      <c r="Q17" s="2"/>
      <c r="R17" s="2"/>
      <c r="S17" s="2"/>
    </row>
    <row r="18" spans="2:19" ht="15.75" thickTop="1" x14ac:dyDescent="0.25">
      <c r="B18" s="488"/>
      <c r="C18" s="551"/>
      <c r="D18" s="489"/>
      <c r="N18" s="2"/>
      <c r="O18" s="2"/>
      <c r="P18" s="2"/>
      <c r="Q18" s="2"/>
      <c r="R18" s="2"/>
      <c r="S18" s="2"/>
    </row>
    <row r="19" spans="2:19" x14ac:dyDescent="0.25">
      <c r="B19" s="305" t="s">
        <v>80</v>
      </c>
      <c r="C19" s="306"/>
      <c r="D19" s="329">
        <f>D3+D7</f>
        <v>1540</v>
      </c>
      <c r="E19" s="393">
        <f>D19</f>
        <v>1540</v>
      </c>
      <c r="F19" s="393">
        <f>D19</f>
        <v>1540</v>
      </c>
      <c r="G19" s="393">
        <f>D19</f>
        <v>1540</v>
      </c>
      <c r="H19" s="393">
        <f>D19</f>
        <v>1540</v>
      </c>
      <c r="I19" s="393">
        <f>D19</f>
        <v>1540</v>
      </c>
      <c r="J19" s="393">
        <f>D19</f>
        <v>1540</v>
      </c>
      <c r="K19" s="393">
        <f>D19</f>
        <v>1540</v>
      </c>
      <c r="L19" s="393">
        <f t="shared" ref="L19:N20" si="4">E19</f>
        <v>1540</v>
      </c>
      <c r="M19" s="393">
        <f t="shared" si="4"/>
        <v>1540</v>
      </c>
      <c r="N19" s="393">
        <f t="shared" si="4"/>
        <v>1540</v>
      </c>
      <c r="O19" s="2"/>
      <c r="P19" s="2"/>
      <c r="Q19" s="2"/>
      <c r="R19" s="2"/>
      <c r="S19" s="2"/>
    </row>
    <row r="20" spans="2:19" ht="26.25" x14ac:dyDescent="0.25">
      <c r="B20" s="307" t="s">
        <v>81</v>
      </c>
      <c r="C20" s="308"/>
      <c r="D20" s="329">
        <f>D6</f>
        <v>120</v>
      </c>
      <c r="E20" s="330">
        <f>D20</f>
        <v>120</v>
      </c>
      <c r="F20" s="330">
        <f>D20</f>
        <v>120</v>
      </c>
      <c r="G20" s="330">
        <f>D20</f>
        <v>120</v>
      </c>
      <c r="H20" s="330">
        <f>D20</f>
        <v>120</v>
      </c>
      <c r="I20" s="330">
        <f>D20</f>
        <v>120</v>
      </c>
      <c r="J20" s="329">
        <f>D20</f>
        <v>120</v>
      </c>
      <c r="K20" s="329">
        <f>D20</f>
        <v>120</v>
      </c>
      <c r="L20" s="329">
        <f t="shared" si="4"/>
        <v>120</v>
      </c>
      <c r="M20" s="329">
        <f t="shared" si="4"/>
        <v>120</v>
      </c>
      <c r="N20" s="329">
        <f t="shared" si="4"/>
        <v>120</v>
      </c>
      <c r="O20" s="2"/>
      <c r="P20" s="2"/>
      <c r="Q20" s="2"/>
      <c r="R20" s="2"/>
      <c r="S20" s="2"/>
    </row>
    <row r="21" spans="2:19" x14ac:dyDescent="0.25">
      <c r="B21" s="309" t="s">
        <v>82</v>
      </c>
      <c r="C21" s="310"/>
      <c r="D21" s="330">
        <f t="shared" ref="D21" si="5">G2</f>
        <v>50</v>
      </c>
      <c r="E21" s="330">
        <f t="shared" ref="E21" si="6">H2</f>
        <v>45</v>
      </c>
      <c r="F21" s="330">
        <f t="shared" ref="F21" si="7">I2</f>
        <v>40</v>
      </c>
      <c r="G21" s="330">
        <f t="shared" ref="G21" si="8">J2</f>
        <v>35</v>
      </c>
      <c r="H21" s="330">
        <f t="shared" ref="H21" si="9">K2</f>
        <v>30</v>
      </c>
      <c r="I21" s="330">
        <f t="shared" ref="I21" si="10">L2</f>
        <v>25</v>
      </c>
      <c r="J21" s="330">
        <f t="shared" ref="J21" si="11">M2</f>
        <v>20</v>
      </c>
      <c r="K21" s="330">
        <f t="shared" ref="K21" si="12">N2</f>
        <v>15</v>
      </c>
      <c r="L21" s="330">
        <f t="shared" ref="L21" si="13">O2</f>
        <v>10</v>
      </c>
      <c r="M21" s="330">
        <f t="shared" ref="M21" si="14">P2</f>
        <v>5</v>
      </c>
      <c r="N21" s="330">
        <f t="shared" ref="N21" si="15">Q2</f>
        <v>0</v>
      </c>
      <c r="O21" s="2"/>
      <c r="P21" s="2"/>
      <c r="Q21" s="2"/>
      <c r="R21" s="2"/>
      <c r="S21" s="2"/>
    </row>
    <row r="22" spans="2:19" ht="26.25" x14ac:dyDescent="0.25">
      <c r="B22" s="305" t="s">
        <v>83</v>
      </c>
      <c r="C22" s="306"/>
      <c r="D22" s="329">
        <f>D5</f>
        <v>6</v>
      </c>
      <c r="E22" s="329">
        <f>D22</f>
        <v>6</v>
      </c>
      <c r="F22" s="330">
        <f>D22</f>
        <v>6</v>
      </c>
      <c r="G22" s="330">
        <f>D22</f>
        <v>6</v>
      </c>
      <c r="H22" s="330">
        <f>D22</f>
        <v>6</v>
      </c>
      <c r="I22" s="329">
        <f>D22</f>
        <v>6</v>
      </c>
      <c r="J22" s="329">
        <f>D22</f>
        <v>6</v>
      </c>
      <c r="K22" s="329">
        <f>D22</f>
        <v>6</v>
      </c>
      <c r="L22" s="329">
        <f t="shared" ref="L22:N22" si="16">E22</f>
        <v>6</v>
      </c>
      <c r="M22" s="329">
        <f t="shared" si="16"/>
        <v>6</v>
      </c>
      <c r="N22" s="329">
        <f t="shared" si="16"/>
        <v>6</v>
      </c>
      <c r="O22" s="2"/>
      <c r="P22" s="2"/>
      <c r="Q22" s="2"/>
      <c r="R22" s="2"/>
      <c r="S22" s="2"/>
    </row>
    <row r="23" spans="2:19" x14ac:dyDescent="0.25">
      <c r="B23" s="305" t="s">
        <v>88</v>
      </c>
      <c r="C23" s="306"/>
      <c r="D23" s="311">
        <f>0.2777777778*D21</f>
        <v>13.88888889</v>
      </c>
      <c r="E23" s="311">
        <f t="shared" ref="E23" si="17">0.2777777778*E21</f>
        <v>12.500000001</v>
      </c>
      <c r="F23" s="311">
        <f t="shared" ref="F23:K23" si="18">0.2777777778*F21</f>
        <v>11.111111112</v>
      </c>
      <c r="G23" s="311">
        <f t="shared" si="18"/>
        <v>9.7222222230000011</v>
      </c>
      <c r="H23" s="311">
        <f t="shared" si="18"/>
        <v>8.3333333340000006</v>
      </c>
      <c r="I23" s="311">
        <f t="shared" si="18"/>
        <v>6.9444444450000002</v>
      </c>
      <c r="J23" s="311">
        <f t="shared" si="18"/>
        <v>5.5555555559999998</v>
      </c>
      <c r="K23" s="311">
        <f t="shared" si="18"/>
        <v>4.1666666670000003</v>
      </c>
      <c r="L23" s="311">
        <f t="shared" ref="L23:N23" si="19">0.2777777778*L21</f>
        <v>2.7777777779999999</v>
      </c>
      <c r="M23" s="311">
        <f t="shared" si="19"/>
        <v>1.388888889</v>
      </c>
      <c r="N23" s="311">
        <f t="shared" si="19"/>
        <v>0</v>
      </c>
      <c r="O23" s="2"/>
      <c r="P23" s="2"/>
      <c r="Q23" s="2"/>
      <c r="R23" s="2"/>
      <c r="S23" s="2"/>
    </row>
    <row r="24" spans="2:19" ht="15.75" thickBot="1" x14ac:dyDescent="0.3">
      <c r="B24" s="312" t="s">
        <v>89</v>
      </c>
      <c r="C24" s="313"/>
      <c r="D24" s="257">
        <f t="shared" ref="D24:E24" si="20">0.0254*D22*1000</f>
        <v>152.39999999999998</v>
      </c>
      <c r="E24" s="257">
        <f t="shared" si="20"/>
        <v>152.39999999999998</v>
      </c>
      <c r="F24" s="257">
        <f t="shared" ref="F24:K24" si="21">0.0254*F22*1000</f>
        <v>152.39999999999998</v>
      </c>
      <c r="G24" s="257">
        <f t="shared" si="21"/>
        <v>152.39999999999998</v>
      </c>
      <c r="H24" s="257">
        <f t="shared" si="21"/>
        <v>152.39999999999998</v>
      </c>
      <c r="I24" s="257">
        <f t="shared" si="21"/>
        <v>152.39999999999998</v>
      </c>
      <c r="J24" s="257">
        <f t="shared" si="21"/>
        <v>152.39999999999998</v>
      </c>
      <c r="K24" s="257">
        <f t="shared" si="21"/>
        <v>152.39999999999998</v>
      </c>
      <c r="L24" s="257">
        <f t="shared" ref="L24:N24" si="22">0.0254*L22*1000</f>
        <v>152.39999999999998</v>
      </c>
      <c r="M24" s="257">
        <f t="shared" si="22"/>
        <v>152.39999999999998</v>
      </c>
      <c r="N24" s="257">
        <f t="shared" si="22"/>
        <v>152.39999999999998</v>
      </c>
      <c r="O24" s="2"/>
      <c r="P24" s="2"/>
      <c r="Q24" s="2"/>
      <c r="R24" s="2"/>
      <c r="S24" s="2"/>
    </row>
    <row r="25" spans="2:19" ht="16.5" thickTop="1" thickBot="1" x14ac:dyDescent="0.3">
      <c r="B25" s="44"/>
      <c r="C25" s="43"/>
      <c r="D25" s="75"/>
      <c r="E25" s="75"/>
      <c r="F25" s="75"/>
      <c r="G25" s="75"/>
      <c r="H25" s="75"/>
      <c r="I25" s="75"/>
      <c r="J25" s="75"/>
      <c r="K25" s="75"/>
      <c r="L25" s="75"/>
      <c r="M25" s="75"/>
      <c r="N25" s="75"/>
      <c r="O25" s="2"/>
      <c r="P25" s="2"/>
      <c r="Q25" s="2"/>
      <c r="R25" s="2"/>
      <c r="S25" s="2"/>
    </row>
    <row r="26" spans="2:19" ht="15.75" thickTop="1" x14ac:dyDescent="0.25">
      <c r="B26" s="485" t="s">
        <v>84</v>
      </c>
      <c r="C26" s="558"/>
      <c r="D26" s="486"/>
    </row>
    <row r="27" spans="2:19" ht="39" x14ac:dyDescent="0.25">
      <c r="B27" s="305" t="s">
        <v>90</v>
      </c>
      <c r="C27" s="306"/>
      <c r="D27" s="246">
        <f t="shared" ref="D27:E27" si="23">POWER(100/D20,1.852)*POWER(D23*15.852,1.852)/POWER(D24*0.03937,4.8655)*0.2083 * 304.8 * 3.28</f>
        <v>530.41967928340148</v>
      </c>
      <c r="E27" s="246">
        <f t="shared" si="23"/>
        <v>436.39197552766575</v>
      </c>
      <c r="F27" s="246">
        <f t="shared" ref="F27:K27" si="24">POWER(100/F20,1.852)*POWER(F23*15.852,1.852)/POWER(F24*0.03937,4.8655)*0.2083 * 304.8 * 3.28</f>
        <v>350.86680687975917</v>
      </c>
      <c r="G27" s="246">
        <f t="shared" si="24"/>
        <v>273.9940921694286</v>
      </c>
      <c r="H27" s="246">
        <f t="shared" si="24"/>
        <v>205.9471300672046</v>
      </c>
      <c r="I27" s="246">
        <f t="shared" si="24"/>
        <v>146.93054064753693</v>
      </c>
      <c r="J27" s="246">
        <f t="shared" si="24"/>
        <v>97.192942953712318</v>
      </c>
      <c r="K27" s="246">
        <f t="shared" si="24"/>
        <v>57.049020516102125</v>
      </c>
      <c r="L27" s="246">
        <f t="shared" ref="L27:N27" si="25">POWER(100/L20,1.852)*POWER(L23*15.852,1.852)/POWER(L24*0.03937,4.8655)*0.2083 * 304.8 * 3.28</f>
        <v>26.923231194225913</v>
      </c>
      <c r="M27" s="246">
        <f t="shared" si="25"/>
        <v>7.4579527680620856</v>
      </c>
      <c r="N27" s="246">
        <f t="shared" si="25"/>
        <v>0</v>
      </c>
    </row>
    <row r="28" spans="2:19" ht="39" x14ac:dyDescent="0.25">
      <c r="B28" s="314" t="s">
        <v>116</v>
      </c>
      <c r="C28" s="315"/>
      <c r="D28" s="248">
        <f t="shared" ref="D28:E28" si="26">D27/1000</f>
        <v>0.5304196792834015</v>
      </c>
      <c r="E28" s="248">
        <f t="shared" si="26"/>
        <v>0.43639197552766573</v>
      </c>
      <c r="F28" s="248">
        <f t="shared" ref="F28:K28" si="27">F27/1000</f>
        <v>0.35086680687975919</v>
      </c>
      <c r="G28" s="248">
        <f t="shared" si="27"/>
        <v>0.2739940921694286</v>
      </c>
      <c r="H28" s="248">
        <f t="shared" si="27"/>
        <v>0.20594713006720461</v>
      </c>
      <c r="I28" s="248">
        <f t="shared" si="27"/>
        <v>0.14693054064753694</v>
      </c>
      <c r="J28" s="248">
        <f t="shared" si="27"/>
        <v>9.7192942953712322E-2</v>
      </c>
      <c r="K28" s="248">
        <f t="shared" si="27"/>
        <v>5.7049020516102125E-2</v>
      </c>
      <c r="L28" s="248">
        <f t="shared" ref="L28:N28" si="28">L27/1000</f>
        <v>2.6923231194225912E-2</v>
      </c>
      <c r="M28" s="248">
        <f t="shared" si="28"/>
        <v>7.4579527680620856E-3</v>
      </c>
      <c r="N28" s="248">
        <f t="shared" si="28"/>
        <v>0</v>
      </c>
    </row>
    <row r="29" spans="2:19" ht="26.25" x14ac:dyDescent="0.25">
      <c r="B29" s="305" t="s">
        <v>91</v>
      </c>
      <c r="C29" s="306"/>
      <c r="D29" s="246">
        <f t="shared" ref="D29:E29" si="29">+D27*9.81/1000</f>
        <v>5.2034170537701687</v>
      </c>
      <c r="E29" s="246">
        <f t="shared" si="29"/>
        <v>4.2810052799264016</v>
      </c>
      <c r="F29" s="246">
        <f t="shared" ref="F29:K29" si="30">+F27*9.81/1000</f>
        <v>3.4420033754904376</v>
      </c>
      <c r="G29" s="246">
        <f t="shared" si="30"/>
        <v>2.687882044182095</v>
      </c>
      <c r="H29" s="246">
        <f t="shared" si="30"/>
        <v>2.0203413459592774</v>
      </c>
      <c r="I29" s="246">
        <f t="shared" si="30"/>
        <v>1.4413886037523373</v>
      </c>
      <c r="J29" s="246">
        <f t="shared" si="30"/>
        <v>0.95346277037591787</v>
      </c>
      <c r="K29" s="246">
        <f t="shared" si="30"/>
        <v>0.55965089126296186</v>
      </c>
      <c r="L29" s="246">
        <f t="shared" ref="L29:N29" si="31">+L27*9.81/1000</f>
        <v>0.26411689801535626</v>
      </c>
      <c r="M29" s="246">
        <f t="shared" si="31"/>
        <v>7.3162516654689064E-2</v>
      </c>
      <c r="N29" s="246">
        <f t="shared" si="31"/>
        <v>0</v>
      </c>
    </row>
    <row r="30" spans="2:19" x14ac:dyDescent="0.25">
      <c r="B30" s="305" t="s">
        <v>92</v>
      </c>
      <c r="C30" s="306"/>
      <c r="D30" s="246">
        <f t="shared" ref="D30:E30" si="32">+D27*D19/100</f>
        <v>8168.4630609643827</v>
      </c>
      <c r="E30" s="394">
        <f t="shared" si="32"/>
        <v>6720.4364231260524</v>
      </c>
      <c r="F30" s="394">
        <f t="shared" ref="F30:K30" si="33">+F27*F19/100</f>
        <v>5403.3488259482911</v>
      </c>
      <c r="G30" s="394">
        <f t="shared" si="33"/>
        <v>4219.5090194092008</v>
      </c>
      <c r="H30" s="394">
        <f t="shared" si="33"/>
        <v>3171.5858030349505</v>
      </c>
      <c r="I30" s="394">
        <f t="shared" si="33"/>
        <v>2262.7303259720688</v>
      </c>
      <c r="J30" s="394">
        <f t="shared" si="33"/>
        <v>1496.7713214871699</v>
      </c>
      <c r="K30" s="394">
        <f t="shared" si="33"/>
        <v>878.55491594797275</v>
      </c>
      <c r="L30" s="394">
        <f t="shared" ref="L30:N30" si="34">+L27*L19/100</f>
        <v>414.61776039107906</v>
      </c>
      <c r="M30" s="394">
        <f t="shared" si="34"/>
        <v>114.85247262815612</v>
      </c>
      <c r="N30" s="394">
        <f t="shared" si="34"/>
        <v>0</v>
      </c>
    </row>
    <row r="31" spans="2:19" x14ac:dyDescent="0.25">
      <c r="B31" s="305" t="s">
        <v>93</v>
      </c>
      <c r="C31" s="306"/>
      <c r="D31" s="246">
        <f t="shared" ref="D31:E31" si="35">+D30*9.81/1000</f>
        <v>80.132622628060602</v>
      </c>
      <c r="E31" s="246">
        <f t="shared" si="35"/>
        <v>65.927481310866582</v>
      </c>
      <c r="F31" s="246">
        <f t="shared" ref="F31:K31" si="36">+F30*9.81/1000</f>
        <v>53.006851982552739</v>
      </c>
      <c r="G31" s="246">
        <f t="shared" si="36"/>
        <v>41.39338348040426</v>
      </c>
      <c r="H31" s="246">
        <f t="shared" si="36"/>
        <v>31.113256727772868</v>
      </c>
      <c r="I31" s="246">
        <f t="shared" si="36"/>
        <v>22.197384497785997</v>
      </c>
      <c r="J31" s="246">
        <f t="shared" si="36"/>
        <v>14.683326663789137</v>
      </c>
      <c r="K31" s="246">
        <f t="shared" si="36"/>
        <v>8.6186237254496127</v>
      </c>
      <c r="L31" s="246">
        <f t="shared" ref="L31:N31" si="37">+L30*9.81/1000</f>
        <v>4.0674002294364859</v>
      </c>
      <c r="M31" s="246">
        <f t="shared" si="37"/>
        <v>1.1267027564822114</v>
      </c>
      <c r="N31" s="246">
        <f t="shared" si="37"/>
        <v>0</v>
      </c>
    </row>
    <row r="32" spans="2:19" x14ac:dyDescent="0.25">
      <c r="B32" s="316" t="s">
        <v>94</v>
      </c>
      <c r="C32" s="317"/>
      <c r="D32" s="250">
        <f t="shared" ref="D32:E32" si="38">D30/1000</f>
        <v>8.1684630609643829</v>
      </c>
      <c r="E32" s="250">
        <f t="shared" si="38"/>
        <v>6.7204364231260527</v>
      </c>
      <c r="F32" s="250">
        <f t="shared" ref="F32:K32" si="39">F30/1000</f>
        <v>5.4033488259482914</v>
      </c>
      <c r="G32" s="250">
        <f t="shared" si="39"/>
        <v>4.2195090194092009</v>
      </c>
      <c r="H32" s="250">
        <f t="shared" si="39"/>
        <v>3.1715858030349504</v>
      </c>
      <c r="I32" s="250">
        <f t="shared" si="39"/>
        <v>2.2627303259720688</v>
      </c>
      <c r="J32" s="250">
        <f t="shared" si="39"/>
        <v>1.4967713214871698</v>
      </c>
      <c r="K32" s="250">
        <f t="shared" si="39"/>
        <v>0.87855491594797275</v>
      </c>
      <c r="L32" s="250">
        <f t="shared" ref="L32:N32" si="40">L30/1000</f>
        <v>0.41461776039107906</v>
      </c>
      <c r="M32" s="250">
        <f t="shared" si="40"/>
        <v>0.11485247262815612</v>
      </c>
      <c r="N32" s="250">
        <f t="shared" si="40"/>
        <v>0</v>
      </c>
    </row>
    <row r="33" spans="2:14" x14ac:dyDescent="0.25">
      <c r="B33" s="481"/>
      <c r="C33" s="543"/>
      <c r="D33" s="482"/>
    </row>
    <row r="34" spans="2:14" x14ac:dyDescent="0.25">
      <c r="B34" s="483" t="s">
        <v>85</v>
      </c>
      <c r="C34" s="544"/>
      <c r="D34" s="484"/>
    </row>
    <row r="35" spans="2:14" ht="15.75" thickBot="1" x14ac:dyDescent="0.3">
      <c r="B35" s="318" t="s">
        <v>86</v>
      </c>
      <c r="C35" s="319"/>
      <c r="D35" s="253">
        <f t="shared" ref="D35:E35" si="41">(D23/1000)/(PI()*POWER((D24/1000)/2,2))</f>
        <v>0.76139091109099832</v>
      </c>
      <c r="E35" s="253">
        <f t="shared" si="41"/>
        <v>0.68525181998189832</v>
      </c>
      <c r="F35" s="253">
        <f t="shared" ref="F35:K35" si="42">(F23/1000)/(PI()*POWER((F24/1000)/2,2))</f>
        <v>0.60911272887279855</v>
      </c>
      <c r="G35" s="253">
        <f t="shared" si="42"/>
        <v>0.53297363776369877</v>
      </c>
      <c r="H35" s="253">
        <f t="shared" si="42"/>
        <v>0.45683454665459899</v>
      </c>
      <c r="I35" s="253">
        <f t="shared" si="42"/>
        <v>0.38069545554549916</v>
      </c>
      <c r="J35" s="253">
        <f t="shared" si="42"/>
        <v>0.30455636443639927</v>
      </c>
      <c r="K35" s="253">
        <f t="shared" si="42"/>
        <v>0.2284172733272995</v>
      </c>
      <c r="L35" s="253">
        <f t="shared" ref="L35:N35" si="43">(L23/1000)/(PI()*POWER((L24/1000)/2,2))</f>
        <v>0.15227818221819964</v>
      </c>
      <c r="M35" s="253">
        <f t="shared" si="43"/>
        <v>7.6139091109099818E-2</v>
      </c>
      <c r="N35" s="253">
        <f t="shared" si="43"/>
        <v>0</v>
      </c>
    </row>
    <row r="36" spans="2:14" ht="16.5" thickTop="1" thickBot="1" x14ac:dyDescent="0.3"/>
    <row r="37" spans="2:14" ht="21.75" thickTop="1" x14ac:dyDescent="0.25">
      <c r="B37" s="327" t="s">
        <v>564</v>
      </c>
      <c r="C37" s="328" t="s">
        <v>563</v>
      </c>
      <c r="D37" s="343">
        <f>D4</f>
        <v>30</v>
      </c>
      <c r="E37" s="322">
        <f>D37</f>
        <v>30</v>
      </c>
      <c r="F37" s="322">
        <f>D37</f>
        <v>30</v>
      </c>
      <c r="G37" s="322">
        <f>D37</f>
        <v>30</v>
      </c>
      <c r="H37" s="322">
        <f>D37</f>
        <v>30</v>
      </c>
      <c r="I37" s="322">
        <f>D37</f>
        <v>30</v>
      </c>
      <c r="J37" s="322">
        <f>E37</f>
        <v>30</v>
      </c>
      <c r="K37" s="323">
        <f t="shared" ref="K37" si="44">F37</f>
        <v>30</v>
      </c>
      <c r="L37" s="323">
        <f t="shared" ref="L37" si="45">G37</f>
        <v>30</v>
      </c>
      <c r="M37" s="323">
        <f t="shared" ref="M37" si="46">H37</f>
        <v>30</v>
      </c>
      <c r="N37" s="323">
        <f t="shared" ref="N37" si="47">I37</f>
        <v>30</v>
      </c>
    </row>
    <row r="38" spans="2:14" ht="21" x14ac:dyDescent="0.25">
      <c r="B38" s="324" t="s">
        <v>564</v>
      </c>
      <c r="C38" s="296" t="s">
        <v>677</v>
      </c>
      <c r="D38" s="321">
        <f>D32</f>
        <v>8.1684630609643829</v>
      </c>
      <c r="E38" s="321">
        <f t="shared" ref="E38" si="48">E32</f>
        <v>6.7204364231260527</v>
      </c>
      <c r="F38" s="321">
        <f t="shared" ref="F38:K38" si="49">F32</f>
        <v>5.4033488259482914</v>
      </c>
      <c r="G38" s="321">
        <f t="shared" si="49"/>
        <v>4.2195090194092009</v>
      </c>
      <c r="H38" s="321">
        <f t="shared" si="49"/>
        <v>3.1715858030349504</v>
      </c>
      <c r="I38" s="321">
        <f t="shared" si="49"/>
        <v>2.2627303259720688</v>
      </c>
      <c r="J38" s="321">
        <f t="shared" si="49"/>
        <v>1.4967713214871698</v>
      </c>
      <c r="K38" s="298">
        <f t="shared" si="49"/>
        <v>0.87855491594797275</v>
      </c>
      <c r="L38" s="298">
        <f t="shared" ref="L38:N38" si="50">L32</f>
        <v>0.41461776039107906</v>
      </c>
      <c r="M38" s="298">
        <f t="shared" si="50"/>
        <v>0.11485247262815612</v>
      </c>
      <c r="N38" s="298">
        <f t="shared" si="50"/>
        <v>0</v>
      </c>
    </row>
    <row r="39" spans="2:14" ht="21" x14ac:dyDescent="0.25">
      <c r="B39" s="324"/>
      <c r="C39" s="296"/>
      <c r="D39" s="391"/>
      <c r="E39" s="391"/>
      <c r="F39" s="391"/>
      <c r="G39" s="391"/>
      <c r="H39" s="391"/>
      <c r="I39" s="391"/>
      <c r="J39" s="391"/>
      <c r="K39" s="391"/>
      <c r="L39" s="391"/>
      <c r="M39" s="391"/>
      <c r="N39" s="391"/>
    </row>
    <row r="40" spans="2:14" ht="21.75" thickBot="1" x14ac:dyDescent="0.3">
      <c r="B40" s="325" t="s">
        <v>564</v>
      </c>
      <c r="C40" s="299" t="s">
        <v>565</v>
      </c>
      <c r="D40" s="326">
        <f>D37+D38+D39</f>
        <v>38.168463060964385</v>
      </c>
      <c r="E40" s="326">
        <f t="shared" ref="E40" si="51">E37+E38+E39</f>
        <v>36.720436423126053</v>
      </c>
      <c r="F40" s="326">
        <f t="shared" ref="F40:K40" si="52">F37+F38+F39</f>
        <v>35.403348825948292</v>
      </c>
      <c r="G40" s="326">
        <f t="shared" si="52"/>
        <v>34.219509019409202</v>
      </c>
      <c r="H40" s="326">
        <f t="shared" si="52"/>
        <v>33.171585803034951</v>
      </c>
      <c r="I40" s="326">
        <f t="shared" si="52"/>
        <v>32.262730325972072</v>
      </c>
      <c r="J40" s="326">
        <f t="shared" si="52"/>
        <v>31.49677132148717</v>
      </c>
      <c r="K40" s="300">
        <f t="shared" si="52"/>
        <v>30.878554915947973</v>
      </c>
      <c r="L40" s="300">
        <f t="shared" ref="L40:M40" si="53">L37+L38+L39</f>
        <v>30.414617760391078</v>
      </c>
      <c r="M40" s="300">
        <f t="shared" si="53"/>
        <v>30.114852472628158</v>
      </c>
      <c r="N40" s="300">
        <f>N37+N38+N39</f>
        <v>30</v>
      </c>
    </row>
    <row r="41" spans="2:14" ht="15.75" thickTop="1" x14ac:dyDescent="0.25"/>
    <row r="42" spans="2:14" x14ac:dyDescent="0.25">
      <c r="D42" s="320"/>
      <c r="E42" s="320"/>
    </row>
  </sheetData>
  <mergeCells count="10">
    <mergeCell ref="B33:D33"/>
    <mergeCell ref="B34:D34"/>
    <mergeCell ref="S3:T3"/>
    <mergeCell ref="B1:D1"/>
    <mergeCell ref="B17:D17"/>
    <mergeCell ref="B18:D18"/>
    <mergeCell ref="F6:R7"/>
    <mergeCell ref="B26:D26"/>
    <mergeCell ref="S2:T2"/>
    <mergeCell ref="S4:T4"/>
  </mergeCells>
  <hyperlinks>
    <hyperlink ref="B20" r:id="rId1" xr:uid="{636652F9-CE2D-4F06-8A1E-304AAD1CA8A9}"/>
  </hyperlinks>
  <pageMargins left="0.7" right="0.7" top="0.75" bottom="0.75" header="0.3" footer="0.3"/>
  <pageSetup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DF722-8727-4ED9-B4C8-C08855A14018}">
  <dimension ref="B1:N61"/>
  <sheetViews>
    <sheetView showGridLines="0" showRowColHeaders="0" topLeftCell="A25" zoomScaleNormal="100" workbookViewId="0">
      <selection activeCell="F39" sqref="F39"/>
    </sheetView>
  </sheetViews>
  <sheetFormatPr defaultRowHeight="15" x14ac:dyDescent="0.25"/>
  <cols>
    <col min="1" max="1" width="4.28515625" customWidth="1"/>
    <col min="2" max="2" width="40.7109375" customWidth="1"/>
    <col min="3" max="3" width="18.5703125" customWidth="1"/>
    <col min="4" max="4" width="20.28515625" customWidth="1"/>
    <col min="5" max="5" width="17.85546875" customWidth="1"/>
    <col min="6" max="6" width="22.42578125" customWidth="1"/>
    <col min="7" max="7" width="5.42578125" customWidth="1"/>
    <col min="8" max="8" width="18.7109375" customWidth="1"/>
    <col min="9" max="9" width="12" customWidth="1"/>
    <col min="10" max="10" width="11" customWidth="1"/>
    <col min="12" max="12" width="14" customWidth="1"/>
    <col min="13" max="13" width="15.140625" customWidth="1"/>
  </cols>
  <sheetData>
    <row r="1" spans="2:12" ht="15" customHeight="1" thickBot="1" x14ac:dyDescent="0.3"/>
    <row r="2" spans="2:12" ht="39" customHeight="1" thickTop="1" thickBot="1" x14ac:dyDescent="0.35">
      <c r="B2" s="589" t="s">
        <v>668</v>
      </c>
      <c r="C2" s="590"/>
      <c r="D2" s="590"/>
      <c r="E2" s="590"/>
      <c r="F2" s="591"/>
      <c r="H2" s="579" t="s">
        <v>660</v>
      </c>
      <c r="I2" s="579"/>
      <c r="J2" s="579"/>
      <c r="K2" s="579"/>
      <c r="L2" s="579"/>
    </row>
    <row r="3" spans="2:12" ht="42.75" customHeight="1" thickTop="1" thickBot="1" x14ac:dyDescent="0.3">
      <c r="B3" s="580" t="s">
        <v>669</v>
      </c>
      <c r="C3" s="581"/>
      <c r="D3" s="581"/>
      <c r="E3" s="581"/>
      <c r="F3" s="582"/>
      <c r="H3" s="369" t="s">
        <v>628</v>
      </c>
      <c r="I3" s="572" t="s">
        <v>652</v>
      </c>
      <c r="J3" s="573"/>
      <c r="K3" s="573"/>
      <c r="L3" s="574"/>
    </row>
    <row r="4" spans="2:12" ht="32.25" customHeight="1" thickTop="1" thickBot="1" x14ac:dyDescent="0.3">
      <c r="B4" s="580" t="s">
        <v>670</v>
      </c>
      <c r="C4" s="581"/>
      <c r="D4" s="581"/>
      <c r="E4" s="581"/>
      <c r="F4" s="582"/>
      <c r="H4" s="370" t="s">
        <v>629</v>
      </c>
      <c r="I4" s="371" t="s">
        <v>661</v>
      </c>
      <c r="J4" s="371" t="s">
        <v>630</v>
      </c>
      <c r="K4" s="371" t="s">
        <v>631</v>
      </c>
      <c r="L4" s="372" t="s">
        <v>632</v>
      </c>
    </row>
    <row r="5" spans="2:12" ht="36.75" customHeight="1" thickTop="1" thickBot="1" x14ac:dyDescent="0.3">
      <c r="B5" s="592" t="s">
        <v>674</v>
      </c>
      <c r="C5" s="593"/>
      <c r="D5" s="593"/>
      <c r="E5" s="593"/>
      <c r="F5" s="594"/>
      <c r="H5" s="359">
        <v>0.01</v>
      </c>
      <c r="I5" s="360">
        <v>0.61165000000000003</v>
      </c>
      <c r="J5" s="374">
        <f t="shared" ref="J5:J6" si="0">I5/10</f>
        <v>6.1165000000000004E-2</v>
      </c>
      <c r="K5" s="373">
        <v>6.0000000000000001E-3</v>
      </c>
      <c r="L5" s="361">
        <v>8.8711999999999999E-2</v>
      </c>
    </row>
    <row r="6" spans="2:12" ht="36.75" customHeight="1" thickTop="1" thickBot="1" x14ac:dyDescent="0.3">
      <c r="B6" s="575" t="s">
        <v>671</v>
      </c>
      <c r="C6" s="576"/>
      <c r="D6" s="576"/>
      <c r="E6" s="576"/>
      <c r="F6" s="577"/>
      <c r="H6" s="359">
        <v>2</v>
      </c>
      <c r="I6" s="360">
        <v>0.70599000000000001</v>
      </c>
      <c r="J6" s="374">
        <f t="shared" si="0"/>
        <v>7.0598999999999995E-2</v>
      </c>
      <c r="K6" s="373">
        <v>7.0000000000000001E-3</v>
      </c>
      <c r="L6" s="361">
        <v>0.1024</v>
      </c>
    </row>
    <row r="7" spans="2:12" ht="36.75" customHeight="1" thickTop="1" thickBot="1" x14ac:dyDescent="0.3">
      <c r="B7" s="28" t="s">
        <v>672</v>
      </c>
      <c r="C7" s="375">
        <v>200</v>
      </c>
      <c r="D7" s="362" t="s">
        <v>358</v>
      </c>
      <c r="E7" s="432" t="s">
        <v>673</v>
      </c>
      <c r="F7" s="434"/>
      <c r="H7" s="359">
        <v>4</v>
      </c>
      <c r="I7" s="360">
        <v>0.81355</v>
      </c>
      <c r="J7" s="374">
        <f t="shared" ref="J7:J17" si="1">I7/10</f>
        <v>8.1354999999999997E-2</v>
      </c>
      <c r="K7" s="373">
        <v>8.0000000000000002E-3</v>
      </c>
      <c r="L7" s="361">
        <v>0.11799999999999999</v>
      </c>
    </row>
    <row r="8" spans="2:12" ht="20.25" thickTop="1" thickBot="1" x14ac:dyDescent="0.3">
      <c r="B8" s="28" t="s">
        <v>628</v>
      </c>
      <c r="C8" s="375">
        <v>20</v>
      </c>
      <c r="D8" s="362" t="s">
        <v>629</v>
      </c>
      <c r="E8" s="432" t="s">
        <v>656</v>
      </c>
      <c r="F8" s="434"/>
      <c r="H8" s="359">
        <v>10</v>
      </c>
      <c r="I8" s="360">
        <v>1.2282</v>
      </c>
      <c r="J8" s="374">
        <f t="shared" si="1"/>
        <v>0.12282</v>
      </c>
      <c r="K8" s="373">
        <v>1.21E-2</v>
      </c>
      <c r="L8" s="361">
        <v>0.17813999999999999</v>
      </c>
    </row>
    <row r="9" spans="2:12" ht="22.5" customHeight="1" thickTop="1" thickBot="1" x14ac:dyDescent="0.3">
      <c r="B9" s="376" t="s">
        <v>635</v>
      </c>
      <c r="C9" s="377">
        <f>VLOOKUP(C8,H4:K17,3,0)</f>
        <v>0.23393000000000003</v>
      </c>
      <c r="D9" s="378" t="s">
        <v>20</v>
      </c>
      <c r="E9" s="432" t="s">
        <v>657</v>
      </c>
      <c r="F9" s="434"/>
      <c r="H9" s="359">
        <v>14</v>
      </c>
      <c r="I9" s="360">
        <v>1.599</v>
      </c>
      <c r="J9" s="374">
        <f t="shared" si="1"/>
        <v>0.15989999999999999</v>
      </c>
      <c r="K9" s="373">
        <v>1.5800000000000002E-2</v>
      </c>
      <c r="L9" s="361">
        <v>0.23191999999999999</v>
      </c>
    </row>
    <row r="10" spans="2:12" ht="36.75" customHeight="1" thickTop="1" thickBot="1" x14ac:dyDescent="0.3">
      <c r="B10" s="28" t="s">
        <v>634</v>
      </c>
      <c r="C10" s="379">
        <v>5</v>
      </c>
      <c r="D10" s="362" t="s">
        <v>20</v>
      </c>
      <c r="E10" s="432" t="s">
        <v>662</v>
      </c>
      <c r="F10" s="434"/>
      <c r="H10" s="359">
        <v>18</v>
      </c>
      <c r="I10" s="360">
        <v>2.0647000000000002</v>
      </c>
      <c r="J10" s="374">
        <f t="shared" si="1"/>
        <v>0.20647000000000001</v>
      </c>
      <c r="K10" s="373">
        <v>2.0400000000000001E-2</v>
      </c>
      <c r="L10" s="361">
        <v>0.29946</v>
      </c>
    </row>
    <row r="11" spans="2:12" ht="21.75" customHeight="1" thickTop="1" thickBot="1" x14ac:dyDescent="0.3">
      <c r="B11" s="28" t="s">
        <v>636</v>
      </c>
      <c r="C11" s="379">
        <v>10</v>
      </c>
      <c r="D11" s="362" t="s">
        <v>358</v>
      </c>
      <c r="E11" s="432" t="s">
        <v>655</v>
      </c>
      <c r="F11" s="434"/>
      <c r="H11" s="359">
        <v>20</v>
      </c>
      <c r="I11" s="360">
        <v>2.3393000000000002</v>
      </c>
      <c r="J11" s="374">
        <f t="shared" si="1"/>
        <v>0.23393000000000003</v>
      </c>
      <c r="K11" s="373">
        <v>2.3099999999999999E-2</v>
      </c>
      <c r="L11" s="361">
        <v>0.33928999999999998</v>
      </c>
    </row>
    <row r="12" spans="2:12" ht="21" customHeight="1" thickTop="1" thickBot="1" x14ac:dyDescent="0.3">
      <c r="B12" s="28" t="s">
        <v>637</v>
      </c>
      <c r="C12" s="379">
        <v>4</v>
      </c>
      <c r="D12" s="362" t="s">
        <v>638</v>
      </c>
      <c r="E12" s="432" t="s">
        <v>654</v>
      </c>
      <c r="F12" s="434"/>
      <c r="H12" s="359">
        <v>25</v>
      </c>
      <c r="I12" s="360">
        <v>3.1699000000000002</v>
      </c>
      <c r="J12" s="374">
        <f t="shared" si="1"/>
        <v>0.31698999999999999</v>
      </c>
      <c r="K12" s="373">
        <v>3.1300000000000001E-2</v>
      </c>
      <c r="L12" s="361">
        <v>0.45976</v>
      </c>
    </row>
    <row r="13" spans="2:12" ht="20.25" customHeight="1" thickTop="1" thickBot="1" x14ac:dyDescent="0.3">
      <c r="B13" s="11" t="s">
        <v>639</v>
      </c>
      <c r="C13" s="375">
        <v>140</v>
      </c>
      <c r="D13" s="362"/>
      <c r="E13" s="432" t="s">
        <v>653</v>
      </c>
      <c r="F13" s="434"/>
      <c r="H13" s="359">
        <v>30</v>
      </c>
      <c r="I13" s="360">
        <v>4.2469999999999999</v>
      </c>
      <c r="J13" s="374">
        <f t="shared" si="1"/>
        <v>0.42469999999999997</v>
      </c>
      <c r="K13" s="373">
        <v>4.19E-2</v>
      </c>
      <c r="L13" s="361">
        <v>0.61597999999999997</v>
      </c>
    </row>
    <row r="14" spans="2:12" ht="23.25" customHeight="1" thickTop="1" thickBot="1" x14ac:dyDescent="0.3">
      <c r="B14" s="28" t="s">
        <v>583</v>
      </c>
      <c r="C14" s="379">
        <v>45</v>
      </c>
      <c r="D14" s="362" t="s">
        <v>354</v>
      </c>
      <c r="E14" s="563" t="s">
        <v>608</v>
      </c>
      <c r="F14" s="563"/>
      <c r="H14" s="359">
        <v>34</v>
      </c>
      <c r="I14" s="360">
        <v>5.3250999999999999</v>
      </c>
      <c r="J14" s="374">
        <f t="shared" si="1"/>
        <v>0.53251000000000004</v>
      </c>
      <c r="K14" s="373">
        <v>5.2600000000000001E-2</v>
      </c>
      <c r="L14" s="361">
        <v>0.77234000000000003</v>
      </c>
    </row>
    <row r="15" spans="2:12" ht="16.5" thickTop="1" thickBot="1" x14ac:dyDescent="0.3">
      <c r="H15" s="359">
        <v>40</v>
      </c>
      <c r="I15" s="360">
        <v>7.3849</v>
      </c>
      <c r="J15" s="374">
        <f t="shared" si="1"/>
        <v>0.73848999999999998</v>
      </c>
      <c r="K15" s="373">
        <v>7.2900000000000006E-2</v>
      </c>
      <c r="L15" s="361">
        <v>1.0710999999999999</v>
      </c>
    </row>
    <row r="16" spans="2:12" ht="25.5" customHeight="1" thickTop="1" x14ac:dyDescent="0.25">
      <c r="B16" s="583" t="s">
        <v>658</v>
      </c>
      <c r="C16" s="584"/>
      <c r="D16" s="584"/>
      <c r="E16" s="585"/>
      <c r="H16" s="359">
        <v>44</v>
      </c>
      <c r="I16" s="360">
        <v>9.1123999999999992</v>
      </c>
      <c r="J16" s="374">
        <f t="shared" si="1"/>
        <v>0.91123999999999994</v>
      </c>
      <c r="K16" s="373">
        <v>8.9899999999999994E-2</v>
      </c>
      <c r="L16" s="361">
        <v>1.3216000000000001</v>
      </c>
    </row>
    <row r="17" spans="2:14" ht="26.25" customHeight="1" x14ac:dyDescent="0.25">
      <c r="B17" s="380" t="s">
        <v>644</v>
      </c>
      <c r="C17" s="381" t="s">
        <v>641</v>
      </c>
      <c r="D17" s="381" t="s">
        <v>642</v>
      </c>
      <c r="E17" s="382" t="s">
        <v>643</v>
      </c>
      <c r="H17" s="359">
        <v>50</v>
      </c>
      <c r="I17" s="360">
        <v>12.352</v>
      </c>
      <c r="J17" s="374">
        <f t="shared" si="1"/>
        <v>1.2352000000000001</v>
      </c>
      <c r="K17" s="373">
        <v>0.122</v>
      </c>
      <c r="L17" s="361">
        <v>1.7915000000000001</v>
      </c>
    </row>
    <row r="18" spans="2:14" ht="21.75" customHeight="1" x14ac:dyDescent="0.25">
      <c r="B18" s="366" t="s">
        <v>640</v>
      </c>
      <c r="C18" s="389">
        <v>8.8000000000000007</v>
      </c>
      <c r="D18" s="389">
        <v>1</v>
      </c>
      <c r="E18" s="368">
        <f>D18*C18</f>
        <v>8.8000000000000007</v>
      </c>
    </row>
    <row r="19" spans="2:14" ht="21.75" customHeight="1" x14ac:dyDescent="0.35">
      <c r="B19" s="366" t="s">
        <v>645</v>
      </c>
      <c r="C19" s="389"/>
      <c r="D19" s="389"/>
      <c r="E19" s="368">
        <f t="shared" ref="E19:E23" si="2">D19*C19</f>
        <v>0</v>
      </c>
      <c r="H19" s="578" t="s">
        <v>659</v>
      </c>
      <c r="I19" s="578"/>
      <c r="J19" s="578"/>
      <c r="K19" s="578"/>
      <c r="L19" s="578"/>
      <c r="M19" s="578"/>
      <c r="N19" s="578"/>
    </row>
    <row r="20" spans="2:14" ht="21.75" customHeight="1" x14ac:dyDescent="0.25">
      <c r="B20" s="366" t="s">
        <v>646</v>
      </c>
      <c r="C20" s="389">
        <v>2.7</v>
      </c>
      <c r="D20" s="389">
        <v>1</v>
      </c>
      <c r="E20" s="368">
        <f t="shared" si="2"/>
        <v>2.7</v>
      </c>
    </row>
    <row r="21" spans="2:14" ht="21.75" customHeight="1" x14ac:dyDescent="0.25">
      <c r="B21" s="366" t="s">
        <v>647</v>
      </c>
      <c r="C21" s="389"/>
      <c r="D21" s="389"/>
      <c r="E21" s="368">
        <f t="shared" si="2"/>
        <v>0</v>
      </c>
    </row>
    <row r="22" spans="2:14" ht="21.75" customHeight="1" x14ac:dyDescent="0.25">
      <c r="B22" s="366" t="s">
        <v>651</v>
      </c>
      <c r="C22" s="389"/>
      <c r="D22" s="389"/>
      <c r="E22" s="368">
        <f t="shared" si="2"/>
        <v>0</v>
      </c>
    </row>
    <row r="23" spans="2:14" ht="21.75" customHeight="1" x14ac:dyDescent="0.25">
      <c r="B23" s="366" t="s">
        <v>651</v>
      </c>
      <c r="C23" s="390"/>
      <c r="D23" s="390"/>
      <c r="E23" s="368">
        <f t="shared" si="2"/>
        <v>0</v>
      </c>
    </row>
    <row r="24" spans="2:14" ht="21.75" customHeight="1" thickBot="1" x14ac:dyDescent="0.3">
      <c r="B24" s="586"/>
      <c r="C24" s="587"/>
      <c r="D24" s="587"/>
      <c r="E24" s="367">
        <f>SUM(E18:E23)</f>
        <v>11.5</v>
      </c>
    </row>
    <row r="25" spans="2:14" ht="20.25" customHeight="1" thickTop="1" x14ac:dyDescent="0.25"/>
    <row r="26" spans="2:14" ht="15.75" thickBot="1" x14ac:dyDescent="0.3"/>
    <row r="27" spans="2:14" ht="24.75" thickTop="1" thickBot="1" x14ac:dyDescent="0.3">
      <c r="B27" s="521" t="s">
        <v>648</v>
      </c>
      <c r="C27" s="522"/>
      <c r="D27" s="523"/>
      <c r="E27" s="588"/>
      <c r="F27" s="506"/>
    </row>
    <row r="28" spans="2:14" ht="27.75" customHeight="1" thickTop="1" thickBot="1" x14ac:dyDescent="0.3">
      <c r="B28" s="363" t="s">
        <v>649</v>
      </c>
      <c r="C28" s="364">
        <f>C57</f>
        <v>0.5071095420440026</v>
      </c>
      <c r="D28" s="365" t="s">
        <v>20</v>
      </c>
      <c r="E28" s="432" t="s">
        <v>665</v>
      </c>
      <c r="F28" s="434"/>
    </row>
    <row r="29" spans="2:14" ht="33" customHeight="1" thickTop="1" thickBot="1" x14ac:dyDescent="0.3">
      <c r="B29" s="363" t="s">
        <v>675</v>
      </c>
      <c r="C29" s="364">
        <f>0.000102073617097745*101325*(1-2.25577*(10^(-5))*C7)^5.25588</f>
        <v>10.099707059225167</v>
      </c>
      <c r="D29" s="365" t="s">
        <v>20</v>
      </c>
      <c r="E29" s="432" t="s">
        <v>676</v>
      </c>
      <c r="F29" s="434"/>
    </row>
    <row r="30" spans="2:14" ht="33" customHeight="1" thickTop="1" thickBot="1" x14ac:dyDescent="0.3">
      <c r="B30" s="363" t="s">
        <v>650</v>
      </c>
      <c r="C30" s="364">
        <f>C29-C10-C28-C9</f>
        <v>4.3586675171811651</v>
      </c>
      <c r="D30" s="365" t="s">
        <v>20</v>
      </c>
      <c r="E30" s="432" t="s">
        <v>666</v>
      </c>
      <c r="F30" s="434"/>
    </row>
    <row r="31" spans="2:14" ht="27.75" thickTop="1" thickBot="1" x14ac:dyDescent="0.3">
      <c r="B31" s="383" t="s">
        <v>664</v>
      </c>
      <c r="C31" s="384">
        <f>C60</f>
        <v>1.5418165949592713</v>
      </c>
      <c r="D31" s="385" t="s">
        <v>663</v>
      </c>
      <c r="E31" s="563" t="s">
        <v>667</v>
      </c>
      <c r="F31" s="563"/>
    </row>
    <row r="32" spans="2:14" ht="16.5" thickTop="1" thickBot="1" x14ac:dyDescent="0.3"/>
    <row r="33" spans="2:7" ht="15.75" thickTop="1" x14ac:dyDescent="0.25">
      <c r="B33" s="552" t="s">
        <v>95</v>
      </c>
      <c r="C33" s="564"/>
      <c r="D33" s="564"/>
      <c r="E33" s="564"/>
      <c r="F33" s="565"/>
    </row>
    <row r="34" spans="2:7" x14ac:dyDescent="0.25">
      <c r="B34" s="566"/>
      <c r="C34" s="567"/>
      <c r="D34" s="567"/>
      <c r="E34" s="567"/>
      <c r="F34" s="568"/>
    </row>
    <row r="35" spans="2:7" ht="35.25" customHeight="1" thickBot="1" x14ac:dyDescent="0.3">
      <c r="B35" s="569"/>
      <c r="C35" s="570"/>
      <c r="D35" s="570"/>
      <c r="E35" s="570"/>
      <c r="F35" s="571"/>
    </row>
    <row r="36" spans="2:7" ht="15.75" thickTop="1" x14ac:dyDescent="0.25"/>
    <row r="42" spans="2:7" ht="16.5" thickBot="1" x14ac:dyDescent="0.3">
      <c r="B42" s="487" t="s">
        <v>87</v>
      </c>
      <c r="C42" s="487"/>
      <c r="D42" s="43"/>
      <c r="E42" s="43"/>
      <c r="F42" s="43"/>
      <c r="G42" s="43"/>
    </row>
    <row r="43" spans="2:7" ht="16.5" thickTop="1" thickBot="1" x14ac:dyDescent="0.3">
      <c r="B43" s="488" t="s">
        <v>79</v>
      </c>
      <c r="C43" s="489"/>
      <c r="D43" s="43"/>
      <c r="E43" s="43"/>
      <c r="F43" s="43"/>
      <c r="G43" s="43"/>
    </row>
    <row r="44" spans="2:7" ht="16.5" thickTop="1" thickBot="1" x14ac:dyDescent="0.3">
      <c r="B44" s="245" t="s">
        <v>80</v>
      </c>
      <c r="C44" s="386">
        <f>C11+E24</f>
        <v>21.5</v>
      </c>
      <c r="D44" s="477" t="s">
        <v>627</v>
      </c>
      <c r="E44" s="477"/>
      <c r="F44" s="477"/>
      <c r="G44" s="478"/>
    </row>
    <row r="45" spans="2:7" ht="16.5" thickTop="1" thickBot="1" x14ac:dyDescent="0.3">
      <c r="B45" s="254" t="s">
        <v>81</v>
      </c>
      <c r="C45" s="387">
        <v>140</v>
      </c>
      <c r="D45" s="479" t="s">
        <v>622</v>
      </c>
      <c r="E45" s="479"/>
      <c r="F45" s="479"/>
      <c r="G45" s="480"/>
    </row>
    <row r="46" spans="2:7" ht="16.5" thickTop="1" thickBot="1" x14ac:dyDescent="0.3">
      <c r="B46" s="255" t="s">
        <v>82</v>
      </c>
      <c r="C46" s="386">
        <f>C14</f>
        <v>45</v>
      </c>
      <c r="D46" s="479" t="s">
        <v>623</v>
      </c>
      <c r="E46" s="479"/>
      <c r="F46" s="479"/>
      <c r="G46" s="480"/>
    </row>
    <row r="47" spans="2:7" ht="16.5" thickTop="1" thickBot="1" x14ac:dyDescent="0.3">
      <c r="B47" s="245" t="s">
        <v>88</v>
      </c>
      <c r="C47" s="388">
        <f>0.2777777778*C46</f>
        <v>12.500000001</v>
      </c>
      <c r="D47" s="86"/>
      <c r="E47" s="45"/>
      <c r="F47" s="45"/>
      <c r="G47" s="45"/>
    </row>
    <row r="48" spans="2:7" ht="16.5" thickTop="1" thickBot="1" x14ac:dyDescent="0.3">
      <c r="B48" s="245" t="s">
        <v>83</v>
      </c>
      <c r="C48" s="386">
        <f>C12</f>
        <v>4</v>
      </c>
      <c r="D48" s="477" t="s">
        <v>624</v>
      </c>
      <c r="E48" s="477"/>
      <c r="F48" s="477"/>
      <c r="G48" s="478"/>
    </row>
    <row r="49" spans="2:7" ht="16.5" thickTop="1" thickBot="1" x14ac:dyDescent="0.3">
      <c r="B49" s="256" t="s">
        <v>89</v>
      </c>
      <c r="C49" s="257">
        <f>0.0254*C48*1000</f>
        <v>101.6</v>
      </c>
      <c r="D49" s="44"/>
      <c r="E49" s="43"/>
      <c r="F49" s="43"/>
      <c r="G49" s="43"/>
    </row>
    <row r="50" spans="2:7" ht="16.5" thickTop="1" thickBot="1" x14ac:dyDescent="0.3">
      <c r="B50" s="43"/>
      <c r="C50" s="75"/>
      <c r="D50" s="43"/>
      <c r="E50" s="43"/>
      <c r="F50" s="43"/>
      <c r="G50" s="43"/>
    </row>
    <row r="51" spans="2:7" ht="15.75" thickTop="1" x14ac:dyDescent="0.25">
      <c r="B51" s="485" t="s">
        <v>84</v>
      </c>
      <c r="C51" s="486"/>
      <c r="D51" s="43"/>
      <c r="E51" s="43"/>
      <c r="F51" s="43"/>
      <c r="G51" s="43"/>
    </row>
    <row r="52" spans="2:7" ht="15.75" thickBot="1" x14ac:dyDescent="0.3">
      <c r="B52" s="245" t="s">
        <v>90</v>
      </c>
      <c r="C52" s="246">
        <f>POWER(100/C45,1.852)*POWER(C47*15.852,1.852)/POWER(C49*0.03937,4.8655)*0.2083 * 304.8 * 3.28</f>
        <v>2358.649032762803</v>
      </c>
      <c r="D52" s="43"/>
      <c r="E52" s="43"/>
      <c r="F52" s="43"/>
      <c r="G52" s="43"/>
    </row>
    <row r="53" spans="2:7" ht="16.5" thickTop="1" thickBot="1" x14ac:dyDescent="0.3">
      <c r="B53" s="247" t="s">
        <v>116</v>
      </c>
      <c r="C53" s="248">
        <f>C52/1000</f>
        <v>2.3586490327628029</v>
      </c>
      <c r="D53" s="471" t="s">
        <v>117</v>
      </c>
      <c r="E53" s="471"/>
      <c r="F53" s="471"/>
      <c r="G53" s="472"/>
    </row>
    <row r="54" spans="2:7" ht="15.75" thickTop="1" x14ac:dyDescent="0.25">
      <c r="B54" s="245" t="s">
        <v>91</v>
      </c>
      <c r="C54" s="246">
        <f>+C52*9.81/1000</f>
        <v>23.138347011403098</v>
      </c>
      <c r="D54" s="43"/>
      <c r="E54" s="43"/>
      <c r="F54" s="43"/>
      <c r="G54" s="43"/>
    </row>
    <row r="55" spans="2:7" x14ac:dyDescent="0.25">
      <c r="B55" s="245" t="s">
        <v>92</v>
      </c>
      <c r="C55" s="246">
        <f>+C52*C44/100</f>
        <v>507.10954204400264</v>
      </c>
      <c r="D55" s="43"/>
      <c r="E55" s="43"/>
      <c r="F55" s="43"/>
      <c r="G55" s="43"/>
    </row>
    <row r="56" spans="2:7" ht="15.75" thickBot="1" x14ac:dyDescent="0.3">
      <c r="B56" s="245" t="s">
        <v>93</v>
      </c>
      <c r="C56" s="246">
        <f>+C55*9.81/1000</f>
        <v>4.9747446074516661</v>
      </c>
      <c r="D56" s="43"/>
      <c r="E56" s="43"/>
      <c r="F56" s="43"/>
      <c r="G56" s="43"/>
    </row>
    <row r="57" spans="2:7" ht="17.25" thickTop="1" thickBot="1" x14ac:dyDescent="0.3">
      <c r="B57" s="249" t="s">
        <v>94</v>
      </c>
      <c r="C57" s="250">
        <f>C55/1000</f>
        <v>0.5071095420440026</v>
      </c>
      <c r="D57" s="475" t="s">
        <v>574</v>
      </c>
      <c r="E57" s="475"/>
      <c r="F57" s="475"/>
      <c r="G57" s="476"/>
    </row>
    <row r="58" spans="2:7" ht="15.75" thickTop="1" x14ac:dyDescent="0.25">
      <c r="B58" s="481"/>
      <c r="C58" s="482"/>
      <c r="D58" s="45"/>
      <c r="E58" s="45"/>
      <c r="F58" s="45"/>
      <c r="G58" s="45"/>
    </row>
    <row r="59" spans="2:7" ht="15.75" thickBot="1" x14ac:dyDescent="0.3">
      <c r="B59" s="483" t="s">
        <v>85</v>
      </c>
      <c r="C59" s="484"/>
      <c r="D59" s="43"/>
      <c r="E59" s="43"/>
      <c r="F59" s="43"/>
      <c r="G59" s="43"/>
    </row>
    <row r="60" spans="2:7" ht="16.5" thickTop="1" thickBot="1" x14ac:dyDescent="0.3">
      <c r="B60" s="252" t="s">
        <v>86</v>
      </c>
      <c r="C60" s="253">
        <f>(C47/1000)/(PI()*POWER((C49/1000)/2,2))</f>
        <v>1.5418165949592713</v>
      </c>
      <c r="D60" s="470" t="s">
        <v>575</v>
      </c>
      <c r="E60" s="471"/>
      <c r="F60" s="471"/>
      <c r="G60" s="472"/>
    </row>
    <row r="61" spans="2:7" ht="15.75" thickTop="1" x14ac:dyDescent="0.25"/>
  </sheetData>
  <mergeCells count="37">
    <mergeCell ref="I3:L3"/>
    <mergeCell ref="B6:F6"/>
    <mergeCell ref="H19:N19"/>
    <mergeCell ref="H2:L2"/>
    <mergeCell ref="B27:D27"/>
    <mergeCell ref="B3:F3"/>
    <mergeCell ref="E11:F11"/>
    <mergeCell ref="B16:E16"/>
    <mergeCell ref="B24:D24"/>
    <mergeCell ref="E27:F27"/>
    <mergeCell ref="B2:F2"/>
    <mergeCell ref="B4:F4"/>
    <mergeCell ref="B5:F5"/>
    <mergeCell ref="E7:F7"/>
    <mergeCell ref="D60:G60"/>
    <mergeCell ref="E8:F8"/>
    <mergeCell ref="E9:F9"/>
    <mergeCell ref="E10:F10"/>
    <mergeCell ref="E12:F12"/>
    <mergeCell ref="E13:F13"/>
    <mergeCell ref="E14:F14"/>
    <mergeCell ref="D45:G45"/>
    <mergeCell ref="D48:G48"/>
    <mergeCell ref="B33:F35"/>
    <mergeCell ref="E30:F30"/>
    <mergeCell ref="E31:F31"/>
    <mergeCell ref="E29:F29"/>
    <mergeCell ref="B51:C51"/>
    <mergeCell ref="D53:G53"/>
    <mergeCell ref="D57:G57"/>
    <mergeCell ref="E28:F28"/>
    <mergeCell ref="B58:C58"/>
    <mergeCell ref="B59:C59"/>
    <mergeCell ref="B42:C42"/>
    <mergeCell ref="B43:C43"/>
    <mergeCell ref="D44:G44"/>
    <mergeCell ref="D46:G46"/>
  </mergeCells>
  <hyperlinks>
    <hyperlink ref="B45" r:id="rId1" xr:uid="{74B72BCD-80C7-45E5-8218-435C8B6A056B}"/>
  </hyperlinks>
  <pageMargins left="0.7" right="0.7" top="0.75" bottom="0.75" header="0.3" footer="0.3"/>
  <pageSetup orientation="portrait" horizontalDpi="1200" verticalDpi="1200" r:id="rId2"/>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0"/>
  <sheetViews>
    <sheetView showGridLines="0" showRowColHeaders="0" topLeftCell="A7" zoomScaleNormal="100" zoomScaleSheetLayoutView="115" workbookViewId="0">
      <selection activeCell="D6" sqref="D6"/>
    </sheetView>
  </sheetViews>
  <sheetFormatPr defaultRowHeight="15" x14ac:dyDescent="0.25"/>
  <cols>
    <col min="1" max="1" width="4.85546875" style="20" customWidth="1"/>
    <col min="2" max="2" width="9.7109375" style="20" customWidth="1"/>
    <col min="3" max="3" width="10.140625" style="20" customWidth="1"/>
    <col min="4" max="5" width="9.5703125" style="20" customWidth="1"/>
    <col min="6" max="6" width="11.140625" style="20" customWidth="1"/>
    <col min="7" max="7" width="9.42578125" style="19" customWidth="1"/>
    <col min="8" max="8" width="8.7109375" style="19" customWidth="1"/>
    <col min="9" max="9" width="13.85546875" style="19" customWidth="1"/>
    <col min="10" max="10" width="9.140625" style="19"/>
    <col min="11" max="11" width="7" style="19" customWidth="1"/>
    <col min="12" max="12" width="10" style="19" customWidth="1"/>
    <col min="13" max="13" width="8.42578125" style="19" customWidth="1"/>
    <col min="14" max="14" width="9.140625" style="19"/>
    <col min="15" max="15" width="12.42578125" style="19" customWidth="1"/>
    <col min="16" max="16" width="13.5703125" style="19" customWidth="1"/>
    <col min="17" max="17" width="23.140625" style="19" customWidth="1"/>
    <col min="18" max="18" width="24.140625" style="19" customWidth="1"/>
    <col min="19" max="16384" width="9.140625" style="19"/>
  </cols>
  <sheetData>
    <row r="1" spans="1:18" ht="42.75" customHeight="1" thickTop="1" thickBot="1" x14ac:dyDescent="0.3">
      <c r="O1" s="595" t="s">
        <v>561</v>
      </c>
      <c r="P1" s="596"/>
      <c r="Q1" s="596"/>
      <c r="R1" s="597"/>
    </row>
    <row r="2" spans="1:18" ht="40.5" customHeight="1" thickTop="1" thickBot="1" x14ac:dyDescent="0.3">
      <c r="B2" s="607" t="s">
        <v>68</v>
      </c>
      <c r="C2" s="608"/>
      <c r="D2" s="608"/>
      <c r="E2" s="608"/>
      <c r="F2" s="608"/>
      <c r="G2" s="608"/>
      <c r="H2" s="608"/>
      <c r="I2" s="608"/>
      <c r="J2" s="608"/>
      <c r="K2" s="608"/>
      <c r="L2" s="608"/>
      <c r="M2" s="609"/>
      <c r="O2" s="281" t="s">
        <v>556</v>
      </c>
      <c r="P2" s="282" t="s">
        <v>558</v>
      </c>
      <c r="Q2" s="283" t="s">
        <v>562</v>
      </c>
      <c r="R2" s="284" t="s">
        <v>559</v>
      </c>
    </row>
    <row r="3" spans="1:18" ht="33.75" customHeight="1" thickTop="1" thickBot="1" x14ac:dyDescent="0.3">
      <c r="B3" s="607" t="s">
        <v>625</v>
      </c>
      <c r="C3" s="608"/>
      <c r="D3" s="608"/>
      <c r="E3" s="608"/>
      <c r="F3" s="608"/>
      <c r="G3" s="608"/>
      <c r="H3" s="608"/>
      <c r="I3" s="608"/>
      <c r="J3" s="608"/>
      <c r="K3" s="608"/>
      <c r="L3" s="608"/>
      <c r="M3" s="609"/>
      <c r="O3" s="285" t="s">
        <v>560</v>
      </c>
      <c r="P3" s="286" t="s">
        <v>557</v>
      </c>
      <c r="Q3" s="286" t="s">
        <v>554</v>
      </c>
      <c r="R3" s="287" t="s">
        <v>555</v>
      </c>
    </row>
    <row r="4" spans="1:18" ht="39.950000000000003" customHeight="1" x14ac:dyDescent="0.25">
      <c r="B4" s="266" t="s">
        <v>65</v>
      </c>
      <c r="C4" s="25" t="s">
        <v>64</v>
      </c>
      <c r="D4" s="23" t="s">
        <v>63</v>
      </c>
      <c r="E4" s="26" t="s">
        <v>62</v>
      </c>
      <c r="F4" s="23" t="s">
        <v>61</v>
      </c>
      <c r="G4" s="22" t="s">
        <v>60</v>
      </c>
      <c r="H4" s="21" t="s">
        <v>59</v>
      </c>
      <c r="I4" s="21" t="s">
        <v>58</v>
      </c>
      <c r="J4" s="610" t="s">
        <v>57</v>
      </c>
      <c r="K4" s="610"/>
      <c r="L4" s="613" t="s">
        <v>56</v>
      </c>
      <c r="M4" s="614"/>
      <c r="O4" s="273">
        <v>1.5</v>
      </c>
      <c r="P4" s="274">
        <v>16</v>
      </c>
      <c r="Q4" s="277">
        <v>2.8159999999999998</v>
      </c>
      <c r="R4" s="278">
        <v>8.4244479999999999</v>
      </c>
    </row>
    <row r="5" spans="1:18" ht="33.75" customHeight="1" thickBot="1" x14ac:dyDescent="0.3">
      <c r="B5" s="267">
        <f>(C5*100)/H5</f>
        <v>1.7796035640495866</v>
      </c>
      <c r="C5" s="268">
        <f>(2*I5*G5*F5)/1000</f>
        <v>3.9151278409090908</v>
      </c>
      <c r="D5" s="270">
        <v>0.8</v>
      </c>
      <c r="E5" s="270">
        <v>3500</v>
      </c>
      <c r="F5" s="269">
        <f>22.5/J5</f>
        <v>1.40625</v>
      </c>
      <c r="G5" s="271">
        <v>70</v>
      </c>
      <c r="H5" s="272">
        <v>220</v>
      </c>
      <c r="I5" s="272">
        <f>E5/(D5*H5)</f>
        <v>19.886363636363637</v>
      </c>
      <c r="J5" s="611">
        <v>16</v>
      </c>
      <c r="K5" s="612"/>
      <c r="L5" s="615">
        <f>I5*1.25</f>
        <v>24.857954545454547</v>
      </c>
      <c r="M5" s="616"/>
      <c r="O5" s="273">
        <v>2.5</v>
      </c>
      <c r="P5" s="274">
        <v>21</v>
      </c>
      <c r="Q5" s="277">
        <v>3.6960000000000002</v>
      </c>
      <c r="R5" s="278">
        <v>11.057088</v>
      </c>
    </row>
    <row r="6" spans="1:18" ht="30.75" customHeight="1" thickTop="1" thickBot="1" x14ac:dyDescent="0.3">
      <c r="E6" s="20" t="s">
        <v>66</v>
      </c>
      <c r="O6" s="273">
        <v>4</v>
      </c>
      <c r="P6" s="274">
        <v>27</v>
      </c>
      <c r="Q6" s="277">
        <v>4.7519999999999998</v>
      </c>
      <c r="R6" s="278">
        <v>14.216256</v>
      </c>
    </row>
    <row r="7" spans="1:18" ht="32.25" customHeight="1" thickTop="1" thickBot="1" x14ac:dyDescent="0.3">
      <c r="B7" s="619" t="s">
        <v>67</v>
      </c>
      <c r="C7" s="620"/>
      <c r="D7" s="620"/>
      <c r="E7" s="620"/>
      <c r="F7" s="620"/>
      <c r="G7" s="620"/>
      <c r="H7" s="620"/>
      <c r="I7" s="620"/>
      <c r="J7" s="620"/>
      <c r="K7" s="620"/>
      <c r="L7" s="620"/>
      <c r="M7" s="621"/>
      <c r="O7" s="273">
        <v>6</v>
      </c>
      <c r="P7" s="274">
        <v>30</v>
      </c>
      <c r="Q7" s="277">
        <v>5.28</v>
      </c>
      <c r="R7" s="278">
        <v>15.79584</v>
      </c>
    </row>
    <row r="8" spans="1:18" ht="30" customHeight="1" thickTop="1" thickBot="1" x14ac:dyDescent="0.3">
      <c r="B8" s="607" t="s">
        <v>626</v>
      </c>
      <c r="C8" s="608"/>
      <c r="D8" s="608"/>
      <c r="E8" s="608"/>
      <c r="F8" s="608"/>
      <c r="G8" s="608"/>
      <c r="H8" s="608"/>
      <c r="I8" s="608"/>
      <c r="J8" s="608"/>
      <c r="K8" s="608"/>
      <c r="L8" s="608"/>
      <c r="M8" s="609"/>
      <c r="O8" s="273">
        <v>10</v>
      </c>
      <c r="P8" s="274">
        <v>35</v>
      </c>
      <c r="Q8" s="277">
        <v>6.16</v>
      </c>
      <c r="R8" s="278">
        <v>18.42848</v>
      </c>
    </row>
    <row r="9" spans="1:18" ht="39.950000000000003" customHeight="1" x14ac:dyDescent="0.25">
      <c r="B9" s="266" t="s">
        <v>65</v>
      </c>
      <c r="C9" s="25" t="s">
        <v>64</v>
      </c>
      <c r="D9" s="23" t="s">
        <v>63</v>
      </c>
      <c r="E9" s="24" t="s">
        <v>62</v>
      </c>
      <c r="F9" s="23" t="s">
        <v>61</v>
      </c>
      <c r="G9" s="22" t="s">
        <v>60</v>
      </c>
      <c r="H9" s="21" t="s">
        <v>59</v>
      </c>
      <c r="I9" s="21" t="s">
        <v>58</v>
      </c>
      <c r="J9" s="610" t="s">
        <v>57</v>
      </c>
      <c r="K9" s="610"/>
      <c r="L9" s="613" t="s">
        <v>56</v>
      </c>
      <c r="M9" s="614"/>
      <c r="O9" s="273">
        <v>16</v>
      </c>
      <c r="P9" s="274">
        <v>45</v>
      </c>
      <c r="Q9" s="277">
        <v>7.92</v>
      </c>
      <c r="R9" s="278">
        <v>23.693759999999997</v>
      </c>
    </row>
    <row r="10" spans="1:18" ht="39.950000000000003" customHeight="1" thickBot="1" x14ac:dyDescent="0.3">
      <c r="B10" s="267">
        <f>(C10*100)/H10</f>
        <v>1.2563285262363244</v>
      </c>
      <c r="C10" s="268">
        <f>(1.73*I10*F10*G10*D10)/1000</f>
        <v>4.7740483996980325</v>
      </c>
      <c r="D10" s="270">
        <v>0.8</v>
      </c>
      <c r="E10" s="301">
        <f>'حسابات الضخ'!D11*1000</f>
        <v>10750.449729690385</v>
      </c>
      <c r="F10" s="269">
        <f>22.5/J10</f>
        <v>5.625</v>
      </c>
      <c r="G10" s="302">
        <f>'لوحة الإدخال الرئيسية'!C13</f>
        <v>30</v>
      </c>
      <c r="H10" s="272">
        <v>380</v>
      </c>
      <c r="I10" s="272">
        <f>E10/(H10*D10*1.73)</f>
        <v>20.441226288580744</v>
      </c>
      <c r="J10" s="611">
        <v>4</v>
      </c>
      <c r="K10" s="612"/>
      <c r="L10" s="617">
        <f>I10*1.25</f>
        <v>25.551532860725928</v>
      </c>
      <c r="M10" s="618"/>
      <c r="O10" s="273">
        <v>25</v>
      </c>
      <c r="P10" s="274">
        <v>55</v>
      </c>
      <c r="Q10" s="277">
        <v>9.68</v>
      </c>
      <c r="R10" s="278">
        <v>28.959040000000002</v>
      </c>
    </row>
    <row r="11" spans="1:18" ht="29.25" customHeight="1" thickTop="1" thickBot="1" x14ac:dyDescent="0.3">
      <c r="O11" s="273">
        <v>35</v>
      </c>
      <c r="P11" s="274">
        <v>80</v>
      </c>
      <c r="Q11" s="277">
        <v>14.08</v>
      </c>
      <c r="R11" s="278">
        <v>42.122239999999998</v>
      </c>
    </row>
    <row r="12" spans="1:18" ht="36.75" customHeight="1" thickTop="1" x14ac:dyDescent="0.25">
      <c r="A12" s="244"/>
      <c r="B12" s="598" t="s">
        <v>573</v>
      </c>
      <c r="C12" s="599"/>
      <c r="D12" s="599"/>
      <c r="E12" s="599"/>
      <c r="F12" s="599"/>
      <c r="G12" s="599"/>
      <c r="H12" s="599"/>
      <c r="I12" s="599"/>
      <c r="J12" s="599"/>
      <c r="K12" s="599"/>
      <c r="L12" s="599"/>
      <c r="M12" s="600"/>
      <c r="O12" s="273">
        <v>50</v>
      </c>
      <c r="P12" s="274">
        <v>100</v>
      </c>
      <c r="Q12" s="277">
        <v>17.600000000000001</v>
      </c>
      <c r="R12" s="278">
        <v>52.652800000000006</v>
      </c>
    </row>
    <row r="13" spans="1:18" ht="39.950000000000003" customHeight="1" x14ac:dyDescent="0.25">
      <c r="A13" s="244"/>
      <c r="B13" s="601"/>
      <c r="C13" s="602"/>
      <c r="D13" s="602"/>
      <c r="E13" s="602"/>
      <c r="F13" s="602"/>
      <c r="G13" s="602"/>
      <c r="H13" s="602"/>
      <c r="I13" s="602"/>
      <c r="J13" s="602"/>
      <c r="K13" s="602"/>
      <c r="L13" s="602"/>
      <c r="M13" s="603"/>
      <c r="O13" s="273">
        <v>70</v>
      </c>
      <c r="P13" s="274">
        <v>150</v>
      </c>
      <c r="Q13" s="277">
        <v>26.4</v>
      </c>
      <c r="R13" s="278">
        <v>78.979199999999992</v>
      </c>
    </row>
    <row r="14" spans="1:18" ht="39.950000000000003" customHeight="1" thickBot="1" x14ac:dyDescent="0.3">
      <c r="A14" s="244"/>
      <c r="B14" s="604"/>
      <c r="C14" s="605"/>
      <c r="D14" s="605"/>
      <c r="E14" s="605"/>
      <c r="F14" s="605"/>
      <c r="G14" s="605"/>
      <c r="H14" s="605"/>
      <c r="I14" s="605"/>
      <c r="J14" s="605"/>
      <c r="K14" s="605"/>
      <c r="L14" s="605"/>
      <c r="M14" s="606"/>
      <c r="O14" s="273">
        <v>95</v>
      </c>
      <c r="P14" s="274">
        <v>180</v>
      </c>
      <c r="Q14" s="277">
        <v>31.68</v>
      </c>
      <c r="R14" s="278">
        <v>94.77503999999999</v>
      </c>
    </row>
    <row r="15" spans="1:18" ht="39.950000000000003" customHeight="1" thickTop="1" x14ac:dyDescent="0.25">
      <c r="O15" s="273">
        <v>120</v>
      </c>
      <c r="P15" s="274">
        <v>230</v>
      </c>
      <c r="Q15" s="277">
        <v>40.479999999999997</v>
      </c>
      <c r="R15" s="278">
        <v>121.10144</v>
      </c>
    </row>
    <row r="16" spans="1:18" ht="39.950000000000003" customHeight="1" x14ac:dyDescent="0.25">
      <c r="O16" s="273">
        <v>150</v>
      </c>
      <c r="P16" s="274">
        <v>250</v>
      </c>
      <c r="Q16" s="277">
        <v>44</v>
      </c>
      <c r="R16" s="278">
        <v>131.63200000000001</v>
      </c>
    </row>
    <row r="17" spans="15:18" ht="39.950000000000003" customHeight="1" x14ac:dyDescent="0.25">
      <c r="O17" s="273">
        <v>185</v>
      </c>
      <c r="P17" s="274">
        <v>275</v>
      </c>
      <c r="Q17" s="277">
        <v>48.4</v>
      </c>
      <c r="R17" s="278">
        <v>144.79520000000002</v>
      </c>
    </row>
    <row r="18" spans="15:18" ht="39.950000000000003" customHeight="1" x14ac:dyDescent="0.25">
      <c r="O18" s="273">
        <v>240</v>
      </c>
      <c r="P18" s="274">
        <v>300</v>
      </c>
      <c r="Q18" s="277">
        <v>52.8</v>
      </c>
      <c r="R18" s="278">
        <v>157.95839999999998</v>
      </c>
    </row>
    <row r="19" spans="15:18" ht="39.950000000000003" customHeight="1" thickBot="1" x14ac:dyDescent="0.3">
      <c r="O19" s="275">
        <v>300</v>
      </c>
      <c r="P19" s="276">
        <v>400</v>
      </c>
      <c r="Q19" s="279">
        <v>70.400000000000006</v>
      </c>
      <c r="R19" s="280">
        <v>210.61120000000003</v>
      </c>
    </row>
    <row r="20" spans="15:18" ht="15.75" thickTop="1" x14ac:dyDescent="0.25"/>
  </sheetData>
  <mergeCells count="14">
    <mergeCell ref="O1:R1"/>
    <mergeCell ref="B12:M14"/>
    <mergeCell ref="B2:M2"/>
    <mergeCell ref="J9:K9"/>
    <mergeCell ref="J10:K10"/>
    <mergeCell ref="J4:K4"/>
    <mergeCell ref="J5:K5"/>
    <mergeCell ref="L4:M4"/>
    <mergeCell ref="L5:M5"/>
    <mergeCell ref="L9:M9"/>
    <mergeCell ref="L10:M10"/>
    <mergeCell ref="B7:M7"/>
    <mergeCell ref="B3:M3"/>
    <mergeCell ref="B8:M8"/>
  </mergeCells>
  <pageMargins left="0.7" right="0.7" top="0.75" bottom="0.75" header="0.3" footer="0.3"/>
  <pageSetup paperSize="9" scale="53" orientation="portrait" horizontalDpi="200" verticalDpi="2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238D2-952E-4342-AFC1-C77AB506B449}">
  <sheetPr>
    <pageSetUpPr fitToPage="1"/>
  </sheetPr>
  <dimension ref="A1:EA23"/>
  <sheetViews>
    <sheetView showGridLines="0" showRowColHeaders="0" zoomScale="117" zoomScaleNormal="117" workbookViewId="0">
      <pane xSplit="21" ySplit="21" topLeftCell="EA38" activePane="bottomRight" state="frozen"/>
      <selection pane="topRight" activeCell="V1" sqref="V1"/>
      <selection pane="bottomLeft" activeCell="A22" sqref="A22"/>
      <selection pane="bottomRight" activeCell="J4" sqref="J4"/>
    </sheetView>
  </sheetViews>
  <sheetFormatPr defaultRowHeight="15" customHeight="1" x14ac:dyDescent="0.2"/>
  <cols>
    <col min="1" max="1" width="2.7109375" style="235" customWidth="1"/>
    <col min="2" max="2" width="9.140625" style="234"/>
    <col min="3" max="3" width="9.42578125" style="234" customWidth="1"/>
    <col min="4" max="4" width="0" style="234" hidden="1" customWidth="1"/>
    <col min="5" max="5" width="9.140625" style="234"/>
    <col min="6" max="6" width="2.42578125" style="234" customWidth="1"/>
    <col min="7" max="7" width="9.140625" style="234"/>
    <col min="8" max="8" width="9.42578125" style="234" customWidth="1"/>
    <col min="9" max="9" width="0" style="234" hidden="1" customWidth="1"/>
    <col min="10" max="10" width="9.140625" style="234"/>
    <col min="11" max="11" width="2.28515625" style="234" customWidth="1"/>
    <col min="12" max="12" width="9.140625" style="234"/>
    <col min="13" max="13" width="9.42578125" style="234" customWidth="1"/>
    <col min="14" max="14" width="0" style="234" hidden="1" customWidth="1"/>
    <col min="15" max="15" width="9.140625" style="234"/>
    <col min="16" max="16" width="2.5703125" style="234" customWidth="1"/>
    <col min="17" max="17" width="9.140625" style="234"/>
    <col min="18" max="18" width="9.5703125" style="234" customWidth="1"/>
    <col min="19" max="19" width="0" style="234" hidden="1" customWidth="1"/>
    <col min="20" max="20" width="9.140625" style="234"/>
    <col min="21" max="21" width="2.7109375" style="211" customWidth="1"/>
    <col min="22" max="23" width="9.140625" style="211"/>
    <col min="24" max="24" width="3.140625" style="211" customWidth="1"/>
    <col min="25" max="25" width="4" style="221" customWidth="1"/>
    <col min="26" max="26" width="9.42578125" style="211" customWidth="1"/>
    <col min="27" max="27" width="9.140625" style="211"/>
    <col min="28" max="28" width="9.140625" style="222"/>
    <col min="29" max="29" width="10.5703125" style="222" customWidth="1"/>
    <col min="30" max="30" width="9.140625" style="211"/>
    <col min="31" max="31" width="4" style="221" customWidth="1"/>
    <col min="32" max="32" width="9.42578125" style="211" customWidth="1"/>
    <col min="33" max="33" width="9.140625" style="211"/>
    <col min="34" max="34" width="9.140625" style="222"/>
    <col min="35" max="35" width="10.5703125" style="222" customWidth="1"/>
    <col min="36" max="36" width="9.140625" style="211"/>
    <col min="37" max="37" width="4" style="221" customWidth="1"/>
    <col min="38" max="38" width="9.42578125" style="211" customWidth="1"/>
    <col min="39" max="39" width="9.140625" style="211"/>
    <col min="40" max="40" width="9.140625" style="222"/>
    <col min="41" max="41" width="10.5703125" style="222" customWidth="1"/>
    <col min="42" max="42" width="9.140625" style="211"/>
    <col min="43" max="43" width="4" style="221" customWidth="1"/>
    <col min="44" max="44" width="9.42578125" style="211" customWidth="1"/>
    <col min="45" max="45" width="9.140625" style="211"/>
    <col min="46" max="46" width="9.140625" style="222"/>
    <col min="47" max="47" width="10.5703125" style="222" customWidth="1"/>
    <col min="48" max="48" width="9.140625" style="211"/>
    <col min="49" max="49" width="4" style="221" customWidth="1"/>
    <col min="50" max="50" width="9.42578125" style="211" customWidth="1"/>
    <col min="51" max="51" width="9.140625" style="211"/>
    <col min="52" max="52" width="9.140625" style="222"/>
    <col min="53" max="53" width="10.5703125" style="222" customWidth="1"/>
    <col min="54" max="54" width="9.140625" style="211"/>
    <col min="55" max="55" width="4" style="221" customWidth="1"/>
    <col min="56" max="56" width="9.42578125" style="211" customWidth="1"/>
    <col min="57" max="57" width="9.140625" style="211"/>
    <col min="58" max="58" width="9.140625" style="222"/>
    <col min="59" max="59" width="10.5703125" style="222" customWidth="1"/>
    <col min="60" max="60" width="9.140625" style="211"/>
    <col min="61" max="61" width="4" style="221" customWidth="1"/>
    <col min="62" max="62" width="9.42578125" style="211" customWidth="1"/>
    <col min="63" max="63" width="9.140625" style="211"/>
    <col min="64" max="64" width="9.140625" style="222"/>
    <col min="65" max="65" width="10.5703125" style="222" customWidth="1"/>
    <col min="66" max="66" width="9.140625" style="211"/>
    <col min="67" max="67" width="4" style="221" customWidth="1"/>
    <col min="68" max="68" width="9.42578125" style="211" customWidth="1"/>
    <col min="69" max="69" width="9.140625" style="211"/>
    <col min="70" max="70" width="9.140625" style="222"/>
    <col min="71" max="71" width="10.5703125" style="222" customWidth="1"/>
    <col min="72" max="72" width="9.140625" style="211"/>
    <col min="73" max="73" width="4" style="221" customWidth="1"/>
    <col min="74" max="74" width="9.42578125" style="211" customWidth="1"/>
    <col min="75" max="75" width="9.140625" style="211"/>
    <col min="76" max="76" width="9.140625" style="222"/>
    <col min="77" max="77" width="10.5703125" style="222" customWidth="1"/>
    <col min="78" max="78" width="9.140625" style="211"/>
    <col min="79" max="79" width="4" style="221" customWidth="1"/>
    <col min="80" max="80" width="9.42578125" style="211" customWidth="1"/>
    <col min="81" max="81" width="9.140625" style="211"/>
    <col min="82" max="82" width="9.140625" style="222"/>
    <col min="83" max="83" width="10.5703125" style="222" customWidth="1"/>
    <col min="84" max="84" width="9.140625" style="211"/>
    <col min="85" max="85" width="4" style="221" customWidth="1"/>
    <col min="86" max="86" width="9.42578125" style="211" customWidth="1"/>
    <col min="87" max="87" width="9.140625" style="211"/>
    <col min="88" max="88" width="9.140625" style="222"/>
    <col min="89" max="89" width="10.5703125" style="222" customWidth="1"/>
    <col min="90" max="90" width="9.140625" style="211"/>
    <col min="91" max="91" width="4" style="221" customWidth="1"/>
    <col min="92" max="92" width="9.42578125" style="211" customWidth="1"/>
    <col min="93" max="93" width="9.140625" style="211"/>
    <col min="94" max="94" width="9.140625" style="222"/>
    <col min="95" max="95" width="10.5703125" style="222" customWidth="1"/>
    <col min="96" max="96" width="9.140625" style="211"/>
    <col min="97" max="97" width="4" style="221" customWidth="1"/>
    <col min="98" max="98" width="9.42578125" style="211" customWidth="1"/>
    <col min="99" max="99" width="9.140625" style="211"/>
    <col min="100" max="100" width="9.140625" style="222"/>
    <col min="101" max="101" width="10.5703125" style="222" customWidth="1"/>
    <col min="102" max="102" width="9.140625" style="211"/>
    <col min="103" max="103" width="4" style="221" customWidth="1"/>
    <col min="104" max="104" width="12.42578125" style="211" customWidth="1"/>
    <col min="105" max="105" width="9.140625" style="211"/>
    <col min="106" max="106" width="9.140625" style="222"/>
    <col min="107" max="107" width="10.5703125" style="222" customWidth="1"/>
    <col min="108" max="108" width="9.140625" style="211"/>
    <col min="109" max="109" width="4" style="221" customWidth="1"/>
    <col min="110" max="110" width="12.42578125" style="211" customWidth="1"/>
    <col min="111" max="111" width="9.140625" style="211"/>
    <col min="112" max="112" width="9.140625" style="222"/>
    <col min="113" max="113" width="10.5703125" style="222" customWidth="1"/>
    <col min="114" max="114" width="9.140625" style="211"/>
    <col min="115" max="115" width="4" style="221" customWidth="1"/>
    <col min="116" max="116" width="12.42578125" style="211" customWidth="1"/>
    <col min="117" max="117" width="9.140625" style="211"/>
    <col min="118" max="118" width="9.140625" style="222"/>
    <col min="119" max="119" width="10.5703125" style="222" customWidth="1"/>
    <col min="120" max="120" width="9.140625" style="211"/>
    <col min="121" max="121" width="4" style="221" customWidth="1"/>
    <col min="122" max="122" width="12.42578125" style="211" customWidth="1"/>
    <col min="123" max="123" width="9.140625" style="211"/>
    <col min="124" max="124" width="9.140625" style="222"/>
    <col min="125" max="125" width="10.5703125" style="222" customWidth="1"/>
    <col min="126" max="126" width="9.140625" style="211"/>
    <col min="127" max="127" width="4" style="221" customWidth="1"/>
    <col min="128" max="128" width="12.42578125" style="211" customWidth="1"/>
    <col min="129" max="129" width="9.140625" style="211"/>
    <col min="130" max="130" width="9.140625" style="222"/>
    <col min="131" max="131" width="10.5703125" style="222" customWidth="1"/>
    <col min="132" max="256" width="9.140625" style="211"/>
    <col min="257" max="257" width="2.7109375" style="211" customWidth="1"/>
    <col min="258" max="258" width="9.140625" style="211"/>
    <col min="259" max="259" width="9.42578125" style="211" customWidth="1"/>
    <col min="260" max="260" width="0" style="211" hidden="1" customWidth="1"/>
    <col min="261" max="261" width="9.140625" style="211"/>
    <col min="262" max="262" width="2.42578125" style="211" customWidth="1"/>
    <col min="263" max="263" width="9.140625" style="211"/>
    <col min="264" max="264" width="9.42578125" style="211" customWidth="1"/>
    <col min="265" max="265" width="0" style="211" hidden="1" customWidth="1"/>
    <col min="266" max="266" width="9.140625" style="211"/>
    <col min="267" max="267" width="2.28515625" style="211" customWidth="1"/>
    <col min="268" max="268" width="9.140625" style="211"/>
    <col min="269" max="269" width="9.42578125" style="211" customWidth="1"/>
    <col min="270" max="270" width="0" style="211" hidden="1" customWidth="1"/>
    <col min="271" max="271" width="9.140625" style="211"/>
    <col min="272" max="272" width="2.5703125" style="211" customWidth="1"/>
    <col min="273" max="273" width="9.140625" style="211"/>
    <col min="274" max="274" width="9.5703125" style="211" customWidth="1"/>
    <col min="275" max="275" width="0" style="211" hidden="1" customWidth="1"/>
    <col min="276" max="276" width="9.140625" style="211"/>
    <col min="277" max="277" width="2.7109375" style="211" customWidth="1"/>
    <col min="278" max="279" width="9.140625" style="211"/>
    <col min="280" max="280" width="3.140625" style="211" customWidth="1"/>
    <col min="281" max="281" width="4" style="211" customWidth="1"/>
    <col min="282" max="282" width="9.42578125" style="211" customWidth="1"/>
    <col min="283" max="284" width="9.140625" style="211"/>
    <col min="285" max="285" width="10.5703125" style="211" customWidth="1"/>
    <col min="286" max="286" width="9.140625" style="211"/>
    <col min="287" max="287" width="4" style="211" customWidth="1"/>
    <col min="288" max="288" width="9.42578125" style="211" customWidth="1"/>
    <col min="289" max="290" width="9.140625" style="211"/>
    <col min="291" max="291" width="10.5703125" style="211" customWidth="1"/>
    <col min="292" max="292" width="9.140625" style="211"/>
    <col min="293" max="293" width="4" style="211" customWidth="1"/>
    <col min="294" max="294" width="9.42578125" style="211" customWidth="1"/>
    <col min="295" max="296" width="9.140625" style="211"/>
    <col min="297" max="297" width="10.5703125" style="211" customWidth="1"/>
    <col min="298" max="298" width="9.140625" style="211"/>
    <col min="299" max="299" width="4" style="211" customWidth="1"/>
    <col min="300" max="300" width="9.42578125" style="211" customWidth="1"/>
    <col min="301" max="302" width="9.140625" style="211"/>
    <col min="303" max="303" width="10.5703125" style="211" customWidth="1"/>
    <col min="304" max="304" width="9.140625" style="211"/>
    <col min="305" max="305" width="4" style="211" customWidth="1"/>
    <col min="306" max="306" width="9.42578125" style="211" customWidth="1"/>
    <col min="307" max="308" width="9.140625" style="211"/>
    <col min="309" max="309" width="10.5703125" style="211" customWidth="1"/>
    <col min="310" max="310" width="9.140625" style="211"/>
    <col min="311" max="311" width="4" style="211" customWidth="1"/>
    <col min="312" max="312" width="9.42578125" style="211" customWidth="1"/>
    <col min="313" max="314" width="9.140625" style="211"/>
    <col min="315" max="315" width="10.5703125" style="211" customWidth="1"/>
    <col min="316" max="316" width="9.140625" style="211"/>
    <col min="317" max="317" width="4" style="211" customWidth="1"/>
    <col min="318" max="318" width="9.42578125" style="211" customWidth="1"/>
    <col min="319" max="320" width="9.140625" style="211"/>
    <col min="321" max="321" width="10.5703125" style="211" customWidth="1"/>
    <col min="322" max="322" width="9.140625" style="211"/>
    <col min="323" max="323" width="4" style="211" customWidth="1"/>
    <col min="324" max="324" width="9.42578125" style="211" customWidth="1"/>
    <col min="325" max="326" width="9.140625" style="211"/>
    <col min="327" max="327" width="10.5703125" style="211" customWidth="1"/>
    <col min="328" max="328" width="9.140625" style="211"/>
    <col min="329" max="329" width="4" style="211" customWidth="1"/>
    <col min="330" max="330" width="9.42578125" style="211" customWidth="1"/>
    <col min="331" max="332" width="9.140625" style="211"/>
    <col min="333" max="333" width="10.5703125" style="211" customWidth="1"/>
    <col min="334" max="334" width="9.140625" style="211"/>
    <col min="335" max="335" width="4" style="211" customWidth="1"/>
    <col min="336" max="336" width="9.42578125" style="211" customWidth="1"/>
    <col min="337" max="338" width="9.140625" style="211"/>
    <col min="339" max="339" width="10.5703125" style="211" customWidth="1"/>
    <col min="340" max="340" width="9.140625" style="211"/>
    <col min="341" max="341" width="4" style="211" customWidth="1"/>
    <col min="342" max="342" width="9.42578125" style="211" customWidth="1"/>
    <col min="343" max="344" width="9.140625" style="211"/>
    <col min="345" max="345" width="10.5703125" style="211" customWidth="1"/>
    <col min="346" max="346" width="9.140625" style="211"/>
    <col min="347" max="347" width="4" style="211" customWidth="1"/>
    <col min="348" max="348" width="9.42578125" style="211" customWidth="1"/>
    <col min="349" max="350" width="9.140625" style="211"/>
    <col min="351" max="351" width="10.5703125" style="211" customWidth="1"/>
    <col min="352" max="352" width="9.140625" style="211"/>
    <col min="353" max="353" width="4" style="211" customWidth="1"/>
    <col min="354" max="354" width="9.42578125" style="211" customWidth="1"/>
    <col min="355" max="356" width="9.140625" style="211"/>
    <col min="357" max="357" width="10.5703125" style="211" customWidth="1"/>
    <col min="358" max="358" width="9.140625" style="211"/>
    <col min="359" max="359" width="4" style="211" customWidth="1"/>
    <col min="360" max="360" width="12.42578125" style="211" customWidth="1"/>
    <col min="361" max="362" width="9.140625" style="211"/>
    <col min="363" max="363" width="10.5703125" style="211" customWidth="1"/>
    <col min="364" max="364" width="9.140625" style="211"/>
    <col min="365" max="365" width="4" style="211" customWidth="1"/>
    <col min="366" max="366" width="12.42578125" style="211" customWidth="1"/>
    <col min="367" max="368" width="9.140625" style="211"/>
    <col min="369" max="369" width="10.5703125" style="211" customWidth="1"/>
    <col min="370" max="370" width="9.140625" style="211"/>
    <col min="371" max="371" width="4" style="211" customWidth="1"/>
    <col min="372" max="372" width="12.42578125" style="211" customWidth="1"/>
    <col min="373" max="374" width="9.140625" style="211"/>
    <col min="375" max="375" width="10.5703125" style="211" customWidth="1"/>
    <col min="376" max="376" width="9.140625" style="211"/>
    <col min="377" max="377" width="4" style="211" customWidth="1"/>
    <col min="378" max="378" width="12.42578125" style="211" customWidth="1"/>
    <col min="379" max="380" width="9.140625" style="211"/>
    <col min="381" max="381" width="10.5703125" style="211" customWidth="1"/>
    <col min="382" max="382" width="9.140625" style="211"/>
    <col min="383" max="383" width="4" style="211" customWidth="1"/>
    <col min="384" max="384" width="12.42578125" style="211" customWidth="1"/>
    <col min="385" max="386" width="9.140625" style="211"/>
    <col min="387" max="387" width="10.5703125" style="211" customWidth="1"/>
    <col min="388" max="512" width="9.140625" style="211"/>
    <col min="513" max="513" width="2.7109375" style="211" customWidth="1"/>
    <col min="514" max="514" width="9.140625" style="211"/>
    <col min="515" max="515" width="9.42578125" style="211" customWidth="1"/>
    <col min="516" max="516" width="0" style="211" hidden="1" customWidth="1"/>
    <col min="517" max="517" width="9.140625" style="211"/>
    <col min="518" max="518" width="2.42578125" style="211" customWidth="1"/>
    <col min="519" max="519" width="9.140625" style="211"/>
    <col min="520" max="520" width="9.42578125" style="211" customWidth="1"/>
    <col min="521" max="521" width="0" style="211" hidden="1" customWidth="1"/>
    <col min="522" max="522" width="9.140625" style="211"/>
    <col min="523" max="523" width="2.28515625" style="211" customWidth="1"/>
    <col min="524" max="524" width="9.140625" style="211"/>
    <col min="525" max="525" width="9.42578125" style="211" customWidth="1"/>
    <col min="526" max="526" width="0" style="211" hidden="1" customWidth="1"/>
    <col min="527" max="527" width="9.140625" style="211"/>
    <col min="528" max="528" width="2.5703125" style="211" customWidth="1"/>
    <col min="529" max="529" width="9.140625" style="211"/>
    <col min="530" max="530" width="9.5703125" style="211" customWidth="1"/>
    <col min="531" max="531" width="0" style="211" hidden="1" customWidth="1"/>
    <col min="532" max="532" width="9.140625" style="211"/>
    <col min="533" max="533" width="2.7109375" style="211" customWidth="1"/>
    <col min="534" max="535" width="9.140625" style="211"/>
    <col min="536" max="536" width="3.140625" style="211" customWidth="1"/>
    <col min="537" max="537" width="4" style="211" customWidth="1"/>
    <col min="538" max="538" width="9.42578125" style="211" customWidth="1"/>
    <col min="539" max="540" width="9.140625" style="211"/>
    <col min="541" max="541" width="10.5703125" style="211" customWidth="1"/>
    <col min="542" max="542" width="9.140625" style="211"/>
    <col min="543" max="543" width="4" style="211" customWidth="1"/>
    <col min="544" max="544" width="9.42578125" style="211" customWidth="1"/>
    <col min="545" max="546" width="9.140625" style="211"/>
    <col min="547" max="547" width="10.5703125" style="211" customWidth="1"/>
    <col min="548" max="548" width="9.140625" style="211"/>
    <col min="549" max="549" width="4" style="211" customWidth="1"/>
    <col min="550" max="550" width="9.42578125" style="211" customWidth="1"/>
    <col min="551" max="552" width="9.140625" style="211"/>
    <col min="553" max="553" width="10.5703125" style="211" customWidth="1"/>
    <col min="554" max="554" width="9.140625" style="211"/>
    <col min="555" max="555" width="4" style="211" customWidth="1"/>
    <col min="556" max="556" width="9.42578125" style="211" customWidth="1"/>
    <col min="557" max="558" width="9.140625" style="211"/>
    <col min="559" max="559" width="10.5703125" style="211" customWidth="1"/>
    <col min="560" max="560" width="9.140625" style="211"/>
    <col min="561" max="561" width="4" style="211" customWidth="1"/>
    <col min="562" max="562" width="9.42578125" style="211" customWidth="1"/>
    <col min="563" max="564" width="9.140625" style="211"/>
    <col min="565" max="565" width="10.5703125" style="211" customWidth="1"/>
    <col min="566" max="566" width="9.140625" style="211"/>
    <col min="567" max="567" width="4" style="211" customWidth="1"/>
    <col min="568" max="568" width="9.42578125" style="211" customWidth="1"/>
    <col min="569" max="570" width="9.140625" style="211"/>
    <col min="571" max="571" width="10.5703125" style="211" customWidth="1"/>
    <col min="572" max="572" width="9.140625" style="211"/>
    <col min="573" max="573" width="4" style="211" customWidth="1"/>
    <col min="574" max="574" width="9.42578125" style="211" customWidth="1"/>
    <col min="575" max="576" width="9.140625" style="211"/>
    <col min="577" max="577" width="10.5703125" style="211" customWidth="1"/>
    <col min="578" max="578" width="9.140625" style="211"/>
    <col min="579" max="579" width="4" style="211" customWidth="1"/>
    <col min="580" max="580" width="9.42578125" style="211" customWidth="1"/>
    <col min="581" max="582" width="9.140625" style="211"/>
    <col min="583" max="583" width="10.5703125" style="211" customWidth="1"/>
    <col min="584" max="584" width="9.140625" style="211"/>
    <col min="585" max="585" width="4" style="211" customWidth="1"/>
    <col min="586" max="586" width="9.42578125" style="211" customWidth="1"/>
    <col min="587" max="588" width="9.140625" style="211"/>
    <col min="589" max="589" width="10.5703125" style="211" customWidth="1"/>
    <col min="590" max="590" width="9.140625" style="211"/>
    <col min="591" max="591" width="4" style="211" customWidth="1"/>
    <col min="592" max="592" width="9.42578125" style="211" customWidth="1"/>
    <col min="593" max="594" width="9.140625" style="211"/>
    <col min="595" max="595" width="10.5703125" style="211" customWidth="1"/>
    <col min="596" max="596" width="9.140625" style="211"/>
    <col min="597" max="597" width="4" style="211" customWidth="1"/>
    <col min="598" max="598" width="9.42578125" style="211" customWidth="1"/>
    <col min="599" max="600" width="9.140625" style="211"/>
    <col min="601" max="601" width="10.5703125" style="211" customWidth="1"/>
    <col min="602" max="602" width="9.140625" style="211"/>
    <col min="603" max="603" width="4" style="211" customWidth="1"/>
    <col min="604" max="604" width="9.42578125" style="211" customWidth="1"/>
    <col min="605" max="606" width="9.140625" style="211"/>
    <col min="607" max="607" width="10.5703125" style="211" customWidth="1"/>
    <col min="608" max="608" width="9.140625" style="211"/>
    <col min="609" max="609" width="4" style="211" customWidth="1"/>
    <col min="610" max="610" width="9.42578125" style="211" customWidth="1"/>
    <col min="611" max="612" width="9.140625" style="211"/>
    <col min="613" max="613" width="10.5703125" style="211" customWidth="1"/>
    <col min="614" max="614" width="9.140625" style="211"/>
    <col min="615" max="615" width="4" style="211" customWidth="1"/>
    <col min="616" max="616" width="12.42578125" style="211" customWidth="1"/>
    <col min="617" max="618" width="9.140625" style="211"/>
    <col min="619" max="619" width="10.5703125" style="211" customWidth="1"/>
    <col min="620" max="620" width="9.140625" style="211"/>
    <col min="621" max="621" width="4" style="211" customWidth="1"/>
    <col min="622" max="622" width="12.42578125" style="211" customWidth="1"/>
    <col min="623" max="624" width="9.140625" style="211"/>
    <col min="625" max="625" width="10.5703125" style="211" customWidth="1"/>
    <col min="626" max="626" width="9.140625" style="211"/>
    <col min="627" max="627" width="4" style="211" customWidth="1"/>
    <col min="628" max="628" width="12.42578125" style="211" customWidth="1"/>
    <col min="629" max="630" width="9.140625" style="211"/>
    <col min="631" max="631" width="10.5703125" style="211" customWidth="1"/>
    <col min="632" max="632" width="9.140625" style="211"/>
    <col min="633" max="633" width="4" style="211" customWidth="1"/>
    <col min="634" max="634" width="12.42578125" style="211" customWidth="1"/>
    <col min="635" max="636" width="9.140625" style="211"/>
    <col min="637" max="637" width="10.5703125" style="211" customWidth="1"/>
    <col min="638" max="638" width="9.140625" style="211"/>
    <col min="639" max="639" width="4" style="211" customWidth="1"/>
    <col min="640" max="640" width="12.42578125" style="211" customWidth="1"/>
    <col min="641" max="642" width="9.140625" style="211"/>
    <col min="643" max="643" width="10.5703125" style="211" customWidth="1"/>
    <col min="644" max="768" width="9.140625" style="211"/>
    <col min="769" max="769" width="2.7109375" style="211" customWidth="1"/>
    <col min="770" max="770" width="9.140625" style="211"/>
    <col min="771" max="771" width="9.42578125" style="211" customWidth="1"/>
    <col min="772" max="772" width="0" style="211" hidden="1" customWidth="1"/>
    <col min="773" max="773" width="9.140625" style="211"/>
    <col min="774" max="774" width="2.42578125" style="211" customWidth="1"/>
    <col min="775" max="775" width="9.140625" style="211"/>
    <col min="776" max="776" width="9.42578125" style="211" customWidth="1"/>
    <col min="777" max="777" width="0" style="211" hidden="1" customWidth="1"/>
    <col min="778" max="778" width="9.140625" style="211"/>
    <col min="779" max="779" width="2.28515625" style="211" customWidth="1"/>
    <col min="780" max="780" width="9.140625" style="211"/>
    <col min="781" max="781" width="9.42578125" style="211" customWidth="1"/>
    <col min="782" max="782" width="0" style="211" hidden="1" customWidth="1"/>
    <col min="783" max="783" width="9.140625" style="211"/>
    <col min="784" max="784" width="2.5703125" style="211" customWidth="1"/>
    <col min="785" max="785" width="9.140625" style="211"/>
    <col min="786" max="786" width="9.5703125" style="211" customWidth="1"/>
    <col min="787" max="787" width="0" style="211" hidden="1" customWidth="1"/>
    <col min="788" max="788" width="9.140625" style="211"/>
    <col min="789" max="789" width="2.7109375" style="211" customWidth="1"/>
    <col min="790" max="791" width="9.140625" style="211"/>
    <col min="792" max="792" width="3.140625" style="211" customWidth="1"/>
    <col min="793" max="793" width="4" style="211" customWidth="1"/>
    <col min="794" max="794" width="9.42578125" style="211" customWidth="1"/>
    <col min="795" max="796" width="9.140625" style="211"/>
    <col min="797" max="797" width="10.5703125" style="211" customWidth="1"/>
    <col min="798" max="798" width="9.140625" style="211"/>
    <col min="799" max="799" width="4" style="211" customWidth="1"/>
    <col min="800" max="800" width="9.42578125" style="211" customWidth="1"/>
    <col min="801" max="802" width="9.140625" style="211"/>
    <col min="803" max="803" width="10.5703125" style="211" customWidth="1"/>
    <col min="804" max="804" width="9.140625" style="211"/>
    <col min="805" max="805" width="4" style="211" customWidth="1"/>
    <col min="806" max="806" width="9.42578125" style="211" customWidth="1"/>
    <col min="807" max="808" width="9.140625" style="211"/>
    <col min="809" max="809" width="10.5703125" style="211" customWidth="1"/>
    <col min="810" max="810" width="9.140625" style="211"/>
    <col min="811" max="811" width="4" style="211" customWidth="1"/>
    <col min="812" max="812" width="9.42578125" style="211" customWidth="1"/>
    <col min="813" max="814" width="9.140625" style="211"/>
    <col min="815" max="815" width="10.5703125" style="211" customWidth="1"/>
    <col min="816" max="816" width="9.140625" style="211"/>
    <col min="817" max="817" width="4" style="211" customWidth="1"/>
    <col min="818" max="818" width="9.42578125" style="211" customWidth="1"/>
    <col min="819" max="820" width="9.140625" style="211"/>
    <col min="821" max="821" width="10.5703125" style="211" customWidth="1"/>
    <col min="822" max="822" width="9.140625" style="211"/>
    <col min="823" max="823" width="4" style="211" customWidth="1"/>
    <col min="824" max="824" width="9.42578125" style="211" customWidth="1"/>
    <col min="825" max="826" width="9.140625" style="211"/>
    <col min="827" max="827" width="10.5703125" style="211" customWidth="1"/>
    <col min="828" max="828" width="9.140625" style="211"/>
    <col min="829" max="829" width="4" style="211" customWidth="1"/>
    <col min="830" max="830" width="9.42578125" style="211" customWidth="1"/>
    <col min="831" max="832" width="9.140625" style="211"/>
    <col min="833" max="833" width="10.5703125" style="211" customWidth="1"/>
    <col min="834" max="834" width="9.140625" style="211"/>
    <col min="835" max="835" width="4" style="211" customWidth="1"/>
    <col min="836" max="836" width="9.42578125" style="211" customWidth="1"/>
    <col min="837" max="838" width="9.140625" style="211"/>
    <col min="839" max="839" width="10.5703125" style="211" customWidth="1"/>
    <col min="840" max="840" width="9.140625" style="211"/>
    <col min="841" max="841" width="4" style="211" customWidth="1"/>
    <col min="842" max="842" width="9.42578125" style="211" customWidth="1"/>
    <col min="843" max="844" width="9.140625" style="211"/>
    <col min="845" max="845" width="10.5703125" style="211" customWidth="1"/>
    <col min="846" max="846" width="9.140625" style="211"/>
    <col min="847" max="847" width="4" style="211" customWidth="1"/>
    <col min="848" max="848" width="9.42578125" style="211" customWidth="1"/>
    <col min="849" max="850" width="9.140625" style="211"/>
    <col min="851" max="851" width="10.5703125" style="211" customWidth="1"/>
    <col min="852" max="852" width="9.140625" style="211"/>
    <col min="853" max="853" width="4" style="211" customWidth="1"/>
    <col min="854" max="854" width="9.42578125" style="211" customWidth="1"/>
    <col min="855" max="856" width="9.140625" style="211"/>
    <col min="857" max="857" width="10.5703125" style="211" customWidth="1"/>
    <col min="858" max="858" width="9.140625" style="211"/>
    <col min="859" max="859" width="4" style="211" customWidth="1"/>
    <col min="860" max="860" width="9.42578125" style="211" customWidth="1"/>
    <col min="861" max="862" width="9.140625" style="211"/>
    <col min="863" max="863" width="10.5703125" style="211" customWidth="1"/>
    <col min="864" max="864" width="9.140625" style="211"/>
    <col min="865" max="865" width="4" style="211" customWidth="1"/>
    <col min="866" max="866" width="9.42578125" style="211" customWidth="1"/>
    <col min="867" max="868" width="9.140625" style="211"/>
    <col min="869" max="869" width="10.5703125" style="211" customWidth="1"/>
    <col min="870" max="870" width="9.140625" style="211"/>
    <col min="871" max="871" width="4" style="211" customWidth="1"/>
    <col min="872" max="872" width="12.42578125" style="211" customWidth="1"/>
    <col min="873" max="874" width="9.140625" style="211"/>
    <col min="875" max="875" width="10.5703125" style="211" customWidth="1"/>
    <col min="876" max="876" width="9.140625" style="211"/>
    <col min="877" max="877" width="4" style="211" customWidth="1"/>
    <col min="878" max="878" width="12.42578125" style="211" customWidth="1"/>
    <col min="879" max="880" width="9.140625" style="211"/>
    <col min="881" max="881" width="10.5703125" style="211" customWidth="1"/>
    <col min="882" max="882" width="9.140625" style="211"/>
    <col min="883" max="883" width="4" style="211" customWidth="1"/>
    <col min="884" max="884" width="12.42578125" style="211" customWidth="1"/>
    <col min="885" max="886" width="9.140625" style="211"/>
    <col min="887" max="887" width="10.5703125" style="211" customWidth="1"/>
    <col min="888" max="888" width="9.140625" style="211"/>
    <col min="889" max="889" width="4" style="211" customWidth="1"/>
    <col min="890" max="890" width="12.42578125" style="211" customWidth="1"/>
    <col min="891" max="892" width="9.140625" style="211"/>
    <col min="893" max="893" width="10.5703125" style="211" customWidth="1"/>
    <col min="894" max="894" width="9.140625" style="211"/>
    <col min="895" max="895" width="4" style="211" customWidth="1"/>
    <col min="896" max="896" width="12.42578125" style="211" customWidth="1"/>
    <col min="897" max="898" width="9.140625" style="211"/>
    <col min="899" max="899" width="10.5703125" style="211" customWidth="1"/>
    <col min="900" max="1024" width="9.140625" style="211"/>
    <col min="1025" max="1025" width="2.7109375" style="211" customWidth="1"/>
    <col min="1026" max="1026" width="9.140625" style="211"/>
    <col min="1027" max="1027" width="9.42578125" style="211" customWidth="1"/>
    <col min="1028" max="1028" width="0" style="211" hidden="1" customWidth="1"/>
    <col min="1029" max="1029" width="9.140625" style="211"/>
    <col min="1030" max="1030" width="2.42578125" style="211" customWidth="1"/>
    <col min="1031" max="1031" width="9.140625" style="211"/>
    <col min="1032" max="1032" width="9.42578125" style="211" customWidth="1"/>
    <col min="1033" max="1033" width="0" style="211" hidden="1" customWidth="1"/>
    <col min="1034" max="1034" width="9.140625" style="211"/>
    <col min="1035" max="1035" width="2.28515625" style="211" customWidth="1"/>
    <col min="1036" max="1036" width="9.140625" style="211"/>
    <col min="1037" max="1037" width="9.42578125" style="211" customWidth="1"/>
    <col min="1038" max="1038" width="0" style="211" hidden="1" customWidth="1"/>
    <col min="1039" max="1039" width="9.140625" style="211"/>
    <col min="1040" max="1040" width="2.5703125" style="211" customWidth="1"/>
    <col min="1041" max="1041" width="9.140625" style="211"/>
    <col min="1042" max="1042" width="9.5703125" style="211" customWidth="1"/>
    <col min="1043" max="1043" width="0" style="211" hidden="1" customWidth="1"/>
    <col min="1044" max="1044" width="9.140625" style="211"/>
    <col min="1045" max="1045" width="2.7109375" style="211" customWidth="1"/>
    <col min="1046" max="1047" width="9.140625" style="211"/>
    <col min="1048" max="1048" width="3.140625" style="211" customWidth="1"/>
    <col min="1049" max="1049" width="4" style="211" customWidth="1"/>
    <col min="1050" max="1050" width="9.42578125" style="211" customWidth="1"/>
    <col min="1051" max="1052" width="9.140625" style="211"/>
    <col min="1053" max="1053" width="10.5703125" style="211" customWidth="1"/>
    <col min="1054" max="1054" width="9.140625" style="211"/>
    <col min="1055" max="1055" width="4" style="211" customWidth="1"/>
    <col min="1056" max="1056" width="9.42578125" style="211" customWidth="1"/>
    <col min="1057" max="1058" width="9.140625" style="211"/>
    <col min="1059" max="1059" width="10.5703125" style="211" customWidth="1"/>
    <col min="1060" max="1060" width="9.140625" style="211"/>
    <col min="1061" max="1061" width="4" style="211" customWidth="1"/>
    <col min="1062" max="1062" width="9.42578125" style="211" customWidth="1"/>
    <col min="1063" max="1064" width="9.140625" style="211"/>
    <col min="1065" max="1065" width="10.5703125" style="211" customWidth="1"/>
    <col min="1066" max="1066" width="9.140625" style="211"/>
    <col min="1067" max="1067" width="4" style="211" customWidth="1"/>
    <col min="1068" max="1068" width="9.42578125" style="211" customWidth="1"/>
    <col min="1069" max="1070" width="9.140625" style="211"/>
    <col min="1071" max="1071" width="10.5703125" style="211" customWidth="1"/>
    <col min="1072" max="1072" width="9.140625" style="211"/>
    <col min="1073" max="1073" width="4" style="211" customWidth="1"/>
    <col min="1074" max="1074" width="9.42578125" style="211" customWidth="1"/>
    <col min="1075" max="1076" width="9.140625" style="211"/>
    <col min="1077" max="1077" width="10.5703125" style="211" customWidth="1"/>
    <col min="1078" max="1078" width="9.140625" style="211"/>
    <col min="1079" max="1079" width="4" style="211" customWidth="1"/>
    <col min="1080" max="1080" width="9.42578125" style="211" customWidth="1"/>
    <col min="1081" max="1082" width="9.140625" style="211"/>
    <col min="1083" max="1083" width="10.5703125" style="211" customWidth="1"/>
    <col min="1084" max="1084" width="9.140625" style="211"/>
    <col min="1085" max="1085" width="4" style="211" customWidth="1"/>
    <col min="1086" max="1086" width="9.42578125" style="211" customWidth="1"/>
    <col min="1087" max="1088" width="9.140625" style="211"/>
    <col min="1089" max="1089" width="10.5703125" style="211" customWidth="1"/>
    <col min="1090" max="1090" width="9.140625" style="211"/>
    <col min="1091" max="1091" width="4" style="211" customWidth="1"/>
    <col min="1092" max="1092" width="9.42578125" style="211" customWidth="1"/>
    <col min="1093" max="1094" width="9.140625" style="211"/>
    <col min="1095" max="1095" width="10.5703125" style="211" customWidth="1"/>
    <col min="1096" max="1096" width="9.140625" style="211"/>
    <col min="1097" max="1097" width="4" style="211" customWidth="1"/>
    <col min="1098" max="1098" width="9.42578125" style="211" customWidth="1"/>
    <col min="1099" max="1100" width="9.140625" style="211"/>
    <col min="1101" max="1101" width="10.5703125" style="211" customWidth="1"/>
    <col min="1102" max="1102" width="9.140625" style="211"/>
    <col min="1103" max="1103" width="4" style="211" customWidth="1"/>
    <col min="1104" max="1104" width="9.42578125" style="211" customWidth="1"/>
    <col min="1105" max="1106" width="9.140625" style="211"/>
    <col min="1107" max="1107" width="10.5703125" style="211" customWidth="1"/>
    <col min="1108" max="1108" width="9.140625" style="211"/>
    <col min="1109" max="1109" width="4" style="211" customWidth="1"/>
    <col min="1110" max="1110" width="9.42578125" style="211" customWidth="1"/>
    <col min="1111" max="1112" width="9.140625" style="211"/>
    <col min="1113" max="1113" width="10.5703125" style="211" customWidth="1"/>
    <col min="1114" max="1114" width="9.140625" style="211"/>
    <col min="1115" max="1115" width="4" style="211" customWidth="1"/>
    <col min="1116" max="1116" width="9.42578125" style="211" customWidth="1"/>
    <col min="1117" max="1118" width="9.140625" style="211"/>
    <col min="1119" max="1119" width="10.5703125" style="211" customWidth="1"/>
    <col min="1120" max="1120" width="9.140625" style="211"/>
    <col min="1121" max="1121" width="4" style="211" customWidth="1"/>
    <col min="1122" max="1122" width="9.42578125" style="211" customWidth="1"/>
    <col min="1123" max="1124" width="9.140625" style="211"/>
    <col min="1125" max="1125" width="10.5703125" style="211" customWidth="1"/>
    <col min="1126" max="1126" width="9.140625" style="211"/>
    <col min="1127" max="1127" width="4" style="211" customWidth="1"/>
    <col min="1128" max="1128" width="12.42578125" style="211" customWidth="1"/>
    <col min="1129" max="1130" width="9.140625" style="211"/>
    <col min="1131" max="1131" width="10.5703125" style="211" customWidth="1"/>
    <col min="1132" max="1132" width="9.140625" style="211"/>
    <col min="1133" max="1133" width="4" style="211" customWidth="1"/>
    <col min="1134" max="1134" width="12.42578125" style="211" customWidth="1"/>
    <col min="1135" max="1136" width="9.140625" style="211"/>
    <col min="1137" max="1137" width="10.5703125" style="211" customWidth="1"/>
    <col min="1138" max="1138" width="9.140625" style="211"/>
    <col min="1139" max="1139" width="4" style="211" customWidth="1"/>
    <col min="1140" max="1140" width="12.42578125" style="211" customWidth="1"/>
    <col min="1141" max="1142" width="9.140625" style="211"/>
    <col min="1143" max="1143" width="10.5703125" style="211" customWidth="1"/>
    <col min="1144" max="1144" width="9.140625" style="211"/>
    <col min="1145" max="1145" width="4" style="211" customWidth="1"/>
    <col min="1146" max="1146" width="12.42578125" style="211" customWidth="1"/>
    <col min="1147" max="1148" width="9.140625" style="211"/>
    <col min="1149" max="1149" width="10.5703125" style="211" customWidth="1"/>
    <col min="1150" max="1150" width="9.140625" style="211"/>
    <col min="1151" max="1151" width="4" style="211" customWidth="1"/>
    <col min="1152" max="1152" width="12.42578125" style="211" customWidth="1"/>
    <col min="1153" max="1154" width="9.140625" style="211"/>
    <col min="1155" max="1155" width="10.5703125" style="211" customWidth="1"/>
    <col min="1156" max="1280" width="9.140625" style="211"/>
    <col min="1281" max="1281" width="2.7109375" style="211" customWidth="1"/>
    <col min="1282" max="1282" width="9.140625" style="211"/>
    <col min="1283" max="1283" width="9.42578125" style="211" customWidth="1"/>
    <col min="1284" max="1284" width="0" style="211" hidden="1" customWidth="1"/>
    <col min="1285" max="1285" width="9.140625" style="211"/>
    <col min="1286" max="1286" width="2.42578125" style="211" customWidth="1"/>
    <col min="1287" max="1287" width="9.140625" style="211"/>
    <col min="1288" max="1288" width="9.42578125" style="211" customWidth="1"/>
    <col min="1289" max="1289" width="0" style="211" hidden="1" customWidth="1"/>
    <col min="1290" max="1290" width="9.140625" style="211"/>
    <col min="1291" max="1291" width="2.28515625" style="211" customWidth="1"/>
    <col min="1292" max="1292" width="9.140625" style="211"/>
    <col min="1293" max="1293" width="9.42578125" style="211" customWidth="1"/>
    <col min="1294" max="1294" width="0" style="211" hidden="1" customWidth="1"/>
    <col min="1295" max="1295" width="9.140625" style="211"/>
    <col min="1296" max="1296" width="2.5703125" style="211" customWidth="1"/>
    <col min="1297" max="1297" width="9.140625" style="211"/>
    <col min="1298" max="1298" width="9.5703125" style="211" customWidth="1"/>
    <col min="1299" max="1299" width="0" style="211" hidden="1" customWidth="1"/>
    <col min="1300" max="1300" width="9.140625" style="211"/>
    <col min="1301" max="1301" width="2.7109375" style="211" customWidth="1"/>
    <col min="1302" max="1303" width="9.140625" style="211"/>
    <col min="1304" max="1304" width="3.140625" style="211" customWidth="1"/>
    <col min="1305" max="1305" width="4" style="211" customWidth="1"/>
    <col min="1306" max="1306" width="9.42578125" style="211" customWidth="1"/>
    <col min="1307" max="1308" width="9.140625" style="211"/>
    <col min="1309" max="1309" width="10.5703125" style="211" customWidth="1"/>
    <col min="1310" max="1310" width="9.140625" style="211"/>
    <col min="1311" max="1311" width="4" style="211" customWidth="1"/>
    <col min="1312" max="1312" width="9.42578125" style="211" customWidth="1"/>
    <col min="1313" max="1314" width="9.140625" style="211"/>
    <col min="1315" max="1315" width="10.5703125" style="211" customWidth="1"/>
    <col min="1316" max="1316" width="9.140625" style="211"/>
    <col min="1317" max="1317" width="4" style="211" customWidth="1"/>
    <col min="1318" max="1318" width="9.42578125" style="211" customWidth="1"/>
    <col min="1319" max="1320" width="9.140625" style="211"/>
    <col min="1321" max="1321" width="10.5703125" style="211" customWidth="1"/>
    <col min="1322" max="1322" width="9.140625" style="211"/>
    <col min="1323" max="1323" width="4" style="211" customWidth="1"/>
    <col min="1324" max="1324" width="9.42578125" style="211" customWidth="1"/>
    <col min="1325" max="1326" width="9.140625" style="211"/>
    <col min="1327" max="1327" width="10.5703125" style="211" customWidth="1"/>
    <col min="1328" max="1328" width="9.140625" style="211"/>
    <col min="1329" max="1329" width="4" style="211" customWidth="1"/>
    <col min="1330" max="1330" width="9.42578125" style="211" customWidth="1"/>
    <col min="1331" max="1332" width="9.140625" style="211"/>
    <col min="1333" max="1333" width="10.5703125" style="211" customWidth="1"/>
    <col min="1334" max="1334" width="9.140625" style="211"/>
    <col min="1335" max="1335" width="4" style="211" customWidth="1"/>
    <col min="1336" max="1336" width="9.42578125" style="211" customWidth="1"/>
    <col min="1337" max="1338" width="9.140625" style="211"/>
    <col min="1339" max="1339" width="10.5703125" style="211" customWidth="1"/>
    <col min="1340" max="1340" width="9.140625" style="211"/>
    <col min="1341" max="1341" width="4" style="211" customWidth="1"/>
    <col min="1342" max="1342" width="9.42578125" style="211" customWidth="1"/>
    <col min="1343" max="1344" width="9.140625" style="211"/>
    <col min="1345" max="1345" width="10.5703125" style="211" customWidth="1"/>
    <col min="1346" max="1346" width="9.140625" style="211"/>
    <col min="1347" max="1347" width="4" style="211" customWidth="1"/>
    <col min="1348" max="1348" width="9.42578125" style="211" customWidth="1"/>
    <col min="1349" max="1350" width="9.140625" style="211"/>
    <col min="1351" max="1351" width="10.5703125" style="211" customWidth="1"/>
    <col min="1352" max="1352" width="9.140625" style="211"/>
    <col min="1353" max="1353" width="4" style="211" customWidth="1"/>
    <col min="1354" max="1354" width="9.42578125" style="211" customWidth="1"/>
    <col min="1355" max="1356" width="9.140625" style="211"/>
    <col min="1357" max="1357" width="10.5703125" style="211" customWidth="1"/>
    <col min="1358" max="1358" width="9.140625" style="211"/>
    <col min="1359" max="1359" width="4" style="211" customWidth="1"/>
    <col min="1360" max="1360" width="9.42578125" style="211" customWidth="1"/>
    <col min="1361" max="1362" width="9.140625" style="211"/>
    <col min="1363" max="1363" width="10.5703125" style="211" customWidth="1"/>
    <col min="1364" max="1364" width="9.140625" style="211"/>
    <col min="1365" max="1365" width="4" style="211" customWidth="1"/>
    <col min="1366" max="1366" width="9.42578125" style="211" customWidth="1"/>
    <col min="1367" max="1368" width="9.140625" style="211"/>
    <col min="1369" max="1369" width="10.5703125" style="211" customWidth="1"/>
    <col min="1370" max="1370" width="9.140625" style="211"/>
    <col min="1371" max="1371" width="4" style="211" customWidth="1"/>
    <col min="1372" max="1372" width="9.42578125" style="211" customWidth="1"/>
    <col min="1373" max="1374" width="9.140625" style="211"/>
    <col min="1375" max="1375" width="10.5703125" style="211" customWidth="1"/>
    <col min="1376" max="1376" width="9.140625" style="211"/>
    <col min="1377" max="1377" width="4" style="211" customWidth="1"/>
    <col min="1378" max="1378" width="9.42578125" style="211" customWidth="1"/>
    <col min="1379" max="1380" width="9.140625" style="211"/>
    <col min="1381" max="1381" width="10.5703125" style="211" customWidth="1"/>
    <col min="1382" max="1382" width="9.140625" style="211"/>
    <col min="1383" max="1383" width="4" style="211" customWidth="1"/>
    <col min="1384" max="1384" width="12.42578125" style="211" customWidth="1"/>
    <col min="1385" max="1386" width="9.140625" style="211"/>
    <col min="1387" max="1387" width="10.5703125" style="211" customWidth="1"/>
    <col min="1388" max="1388" width="9.140625" style="211"/>
    <col min="1389" max="1389" width="4" style="211" customWidth="1"/>
    <col min="1390" max="1390" width="12.42578125" style="211" customWidth="1"/>
    <col min="1391" max="1392" width="9.140625" style="211"/>
    <col min="1393" max="1393" width="10.5703125" style="211" customWidth="1"/>
    <col min="1394" max="1394" width="9.140625" style="211"/>
    <col min="1395" max="1395" width="4" style="211" customWidth="1"/>
    <col min="1396" max="1396" width="12.42578125" style="211" customWidth="1"/>
    <col min="1397" max="1398" width="9.140625" style="211"/>
    <col min="1399" max="1399" width="10.5703125" style="211" customWidth="1"/>
    <col min="1400" max="1400" width="9.140625" style="211"/>
    <col min="1401" max="1401" width="4" style="211" customWidth="1"/>
    <col min="1402" max="1402" width="12.42578125" style="211" customWidth="1"/>
    <col min="1403" max="1404" width="9.140625" style="211"/>
    <col min="1405" max="1405" width="10.5703125" style="211" customWidth="1"/>
    <col min="1406" max="1406" width="9.140625" style="211"/>
    <col min="1407" max="1407" width="4" style="211" customWidth="1"/>
    <col min="1408" max="1408" width="12.42578125" style="211" customWidth="1"/>
    <col min="1409" max="1410" width="9.140625" style="211"/>
    <col min="1411" max="1411" width="10.5703125" style="211" customWidth="1"/>
    <col min="1412" max="1536" width="9.140625" style="211"/>
    <col min="1537" max="1537" width="2.7109375" style="211" customWidth="1"/>
    <col min="1538" max="1538" width="9.140625" style="211"/>
    <col min="1539" max="1539" width="9.42578125" style="211" customWidth="1"/>
    <col min="1540" max="1540" width="0" style="211" hidden="1" customWidth="1"/>
    <col min="1541" max="1541" width="9.140625" style="211"/>
    <col min="1542" max="1542" width="2.42578125" style="211" customWidth="1"/>
    <col min="1543" max="1543" width="9.140625" style="211"/>
    <col min="1544" max="1544" width="9.42578125" style="211" customWidth="1"/>
    <col min="1545" max="1545" width="0" style="211" hidden="1" customWidth="1"/>
    <col min="1546" max="1546" width="9.140625" style="211"/>
    <col min="1547" max="1547" width="2.28515625" style="211" customWidth="1"/>
    <col min="1548" max="1548" width="9.140625" style="211"/>
    <col min="1549" max="1549" width="9.42578125" style="211" customWidth="1"/>
    <col min="1550" max="1550" width="0" style="211" hidden="1" customWidth="1"/>
    <col min="1551" max="1551" width="9.140625" style="211"/>
    <col min="1552" max="1552" width="2.5703125" style="211" customWidth="1"/>
    <col min="1553" max="1553" width="9.140625" style="211"/>
    <col min="1554" max="1554" width="9.5703125" style="211" customWidth="1"/>
    <col min="1555" max="1555" width="0" style="211" hidden="1" customWidth="1"/>
    <col min="1556" max="1556" width="9.140625" style="211"/>
    <col min="1557" max="1557" width="2.7109375" style="211" customWidth="1"/>
    <col min="1558" max="1559" width="9.140625" style="211"/>
    <col min="1560" max="1560" width="3.140625" style="211" customWidth="1"/>
    <col min="1561" max="1561" width="4" style="211" customWidth="1"/>
    <col min="1562" max="1562" width="9.42578125" style="211" customWidth="1"/>
    <col min="1563" max="1564" width="9.140625" style="211"/>
    <col min="1565" max="1565" width="10.5703125" style="211" customWidth="1"/>
    <col min="1566" max="1566" width="9.140625" style="211"/>
    <col min="1567" max="1567" width="4" style="211" customWidth="1"/>
    <col min="1568" max="1568" width="9.42578125" style="211" customWidth="1"/>
    <col min="1569" max="1570" width="9.140625" style="211"/>
    <col min="1571" max="1571" width="10.5703125" style="211" customWidth="1"/>
    <col min="1572" max="1572" width="9.140625" style="211"/>
    <col min="1573" max="1573" width="4" style="211" customWidth="1"/>
    <col min="1574" max="1574" width="9.42578125" style="211" customWidth="1"/>
    <col min="1575" max="1576" width="9.140625" style="211"/>
    <col min="1577" max="1577" width="10.5703125" style="211" customWidth="1"/>
    <col min="1578" max="1578" width="9.140625" style="211"/>
    <col min="1579" max="1579" width="4" style="211" customWidth="1"/>
    <col min="1580" max="1580" width="9.42578125" style="211" customWidth="1"/>
    <col min="1581" max="1582" width="9.140625" style="211"/>
    <col min="1583" max="1583" width="10.5703125" style="211" customWidth="1"/>
    <col min="1584" max="1584" width="9.140625" style="211"/>
    <col min="1585" max="1585" width="4" style="211" customWidth="1"/>
    <col min="1586" max="1586" width="9.42578125" style="211" customWidth="1"/>
    <col min="1587" max="1588" width="9.140625" style="211"/>
    <col min="1589" max="1589" width="10.5703125" style="211" customWidth="1"/>
    <col min="1590" max="1590" width="9.140625" style="211"/>
    <col min="1591" max="1591" width="4" style="211" customWidth="1"/>
    <col min="1592" max="1592" width="9.42578125" style="211" customWidth="1"/>
    <col min="1593" max="1594" width="9.140625" style="211"/>
    <col min="1595" max="1595" width="10.5703125" style="211" customWidth="1"/>
    <col min="1596" max="1596" width="9.140625" style="211"/>
    <col min="1597" max="1597" width="4" style="211" customWidth="1"/>
    <col min="1598" max="1598" width="9.42578125" style="211" customWidth="1"/>
    <col min="1599" max="1600" width="9.140625" style="211"/>
    <col min="1601" max="1601" width="10.5703125" style="211" customWidth="1"/>
    <col min="1602" max="1602" width="9.140625" style="211"/>
    <col min="1603" max="1603" width="4" style="211" customWidth="1"/>
    <col min="1604" max="1604" width="9.42578125" style="211" customWidth="1"/>
    <col min="1605" max="1606" width="9.140625" style="211"/>
    <col min="1607" max="1607" width="10.5703125" style="211" customWidth="1"/>
    <col min="1608" max="1608" width="9.140625" style="211"/>
    <col min="1609" max="1609" width="4" style="211" customWidth="1"/>
    <col min="1610" max="1610" width="9.42578125" style="211" customWidth="1"/>
    <col min="1611" max="1612" width="9.140625" style="211"/>
    <col min="1613" max="1613" width="10.5703125" style="211" customWidth="1"/>
    <col min="1614" max="1614" width="9.140625" style="211"/>
    <col min="1615" max="1615" width="4" style="211" customWidth="1"/>
    <col min="1616" max="1616" width="9.42578125" style="211" customWidth="1"/>
    <col min="1617" max="1618" width="9.140625" style="211"/>
    <col min="1619" max="1619" width="10.5703125" style="211" customWidth="1"/>
    <col min="1620" max="1620" width="9.140625" style="211"/>
    <col min="1621" max="1621" width="4" style="211" customWidth="1"/>
    <col min="1622" max="1622" width="9.42578125" style="211" customWidth="1"/>
    <col min="1623" max="1624" width="9.140625" style="211"/>
    <col min="1625" max="1625" width="10.5703125" style="211" customWidth="1"/>
    <col min="1626" max="1626" width="9.140625" style="211"/>
    <col min="1627" max="1627" width="4" style="211" customWidth="1"/>
    <col min="1628" max="1628" width="9.42578125" style="211" customWidth="1"/>
    <col min="1629" max="1630" width="9.140625" style="211"/>
    <col min="1631" max="1631" width="10.5703125" style="211" customWidth="1"/>
    <col min="1632" max="1632" width="9.140625" style="211"/>
    <col min="1633" max="1633" width="4" style="211" customWidth="1"/>
    <col min="1634" max="1634" width="9.42578125" style="211" customWidth="1"/>
    <col min="1635" max="1636" width="9.140625" style="211"/>
    <col min="1637" max="1637" width="10.5703125" style="211" customWidth="1"/>
    <col min="1638" max="1638" width="9.140625" style="211"/>
    <col min="1639" max="1639" width="4" style="211" customWidth="1"/>
    <col min="1640" max="1640" width="12.42578125" style="211" customWidth="1"/>
    <col min="1641" max="1642" width="9.140625" style="211"/>
    <col min="1643" max="1643" width="10.5703125" style="211" customWidth="1"/>
    <col min="1644" max="1644" width="9.140625" style="211"/>
    <col min="1645" max="1645" width="4" style="211" customWidth="1"/>
    <col min="1646" max="1646" width="12.42578125" style="211" customWidth="1"/>
    <col min="1647" max="1648" width="9.140625" style="211"/>
    <col min="1649" max="1649" width="10.5703125" style="211" customWidth="1"/>
    <col min="1650" max="1650" width="9.140625" style="211"/>
    <col min="1651" max="1651" width="4" style="211" customWidth="1"/>
    <col min="1652" max="1652" width="12.42578125" style="211" customWidth="1"/>
    <col min="1653" max="1654" width="9.140625" style="211"/>
    <col min="1655" max="1655" width="10.5703125" style="211" customWidth="1"/>
    <col min="1656" max="1656" width="9.140625" style="211"/>
    <col min="1657" max="1657" width="4" style="211" customWidth="1"/>
    <col min="1658" max="1658" width="12.42578125" style="211" customWidth="1"/>
    <col min="1659" max="1660" width="9.140625" style="211"/>
    <col min="1661" max="1661" width="10.5703125" style="211" customWidth="1"/>
    <col min="1662" max="1662" width="9.140625" style="211"/>
    <col min="1663" max="1663" width="4" style="211" customWidth="1"/>
    <col min="1664" max="1664" width="12.42578125" style="211" customWidth="1"/>
    <col min="1665" max="1666" width="9.140625" style="211"/>
    <col min="1667" max="1667" width="10.5703125" style="211" customWidth="1"/>
    <col min="1668" max="1792" width="9.140625" style="211"/>
    <col min="1793" max="1793" width="2.7109375" style="211" customWidth="1"/>
    <col min="1794" max="1794" width="9.140625" style="211"/>
    <col min="1795" max="1795" width="9.42578125" style="211" customWidth="1"/>
    <col min="1796" max="1796" width="0" style="211" hidden="1" customWidth="1"/>
    <col min="1797" max="1797" width="9.140625" style="211"/>
    <col min="1798" max="1798" width="2.42578125" style="211" customWidth="1"/>
    <col min="1799" max="1799" width="9.140625" style="211"/>
    <col min="1800" max="1800" width="9.42578125" style="211" customWidth="1"/>
    <col min="1801" max="1801" width="0" style="211" hidden="1" customWidth="1"/>
    <col min="1802" max="1802" width="9.140625" style="211"/>
    <col min="1803" max="1803" width="2.28515625" style="211" customWidth="1"/>
    <col min="1804" max="1804" width="9.140625" style="211"/>
    <col min="1805" max="1805" width="9.42578125" style="211" customWidth="1"/>
    <col min="1806" max="1806" width="0" style="211" hidden="1" customWidth="1"/>
    <col min="1807" max="1807" width="9.140625" style="211"/>
    <col min="1808" max="1808" width="2.5703125" style="211" customWidth="1"/>
    <col min="1809" max="1809" width="9.140625" style="211"/>
    <col min="1810" max="1810" width="9.5703125" style="211" customWidth="1"/>
    <col min="1811" max="1811" width="0" style="211" hidden="1" customWidth="1"/>
    <col min="1812" max="1812" width="9.140625" style="211"/>
    <col min="1813" max="1813" width="2.7109375" style="211" customWidth="1"/>
    <col min="1814" max="1815" width="9.140625" style="211"/>
    <col min="1816" max="1816" width="3.140625" style="211" customWidth="1"/>
    <col min="1817" max="1817" width="4" style="211" customWidth="1"/>
    <col min="1818" max="1818" width="9.42578125" style="211" customWidth="1"/>
    <col min="1819" max="1820" width="9.140625" style="211"/>
    <col min="1821" max="1821" width="10.5703125" style="211" customWidth="1"/>
    <col min="1822" max="1822" width="9.140625" style="211"/>
    <col min="1823" max="1823" width="4" style="211" customWidth="1"/>
    <col min="1824" max="1824" width="9.42578125" style="211" customWidth="1"/>
    <col min="1825" max="1826" width="9.140625" style="211"/>
    <col min="1827" max="1827" width="10.5703125" style="211" customWidth="1"/>
    <col min="1828" max="1828" width="9.140625" style="211"/>
    <col min="1829" max="1829" width="4" style="211" customWidth="1"/>
    <col min="1830" max="1830" width="9.42578125" style="211" customWidth="1"/>
    <col min="1831" max="1832" width="9.140625" style="211"/>
    <col min="1833" max="1833" width="10.5703125" style="211" customWidth="1"/>
    <col min="1834" max="1834" width="9.140625" style="211"/>
    <col min="1835" max="1835" width="4" style="211" customWidth="1"/>
    <col min="1836" max="1836" width="9.42578125" style="211" customWidth="1"/>
    <col min="1837" max="1838" width="9.140625" style="211"/>
    <col min="1839" max="1839" width="10.5703125" style="211" customWidth="1"/>
    <col min="1840" max="1840" width="9.140625" style="211"/>
    <col min="1841" max="1841" width="4" style="211" customWidth="1"/>
    <col min="1842" max="1842" width="9.42578125" style="211" customWidth="1"/>
    <col min="1843" max="1844" width="9.140625" style="211"/>
    <col min="1845" max="1845" width="10.5703125" style="211" customWidth="1"/>
    <col min="1846" max="1846" width="9.140625" style="211"/>
    <col min="1847" max="1847" width="4" style="211" customWidth="1"/>
    <col min="1848" max="1848" width="9.42578125" style="211" customWidth="1"/>
    <col min="1849" max="1850" width="9.140625" style="211"/>
    <col min="1851" max="1851" width="10.5703125" style="211" customWidth="1"/>
    <col min="1852" max="1852" width="9.140625" style="211"/>
    <col min="1853" max="1853" width="4" style="211" customWidth="1"/>
    <col min="1854" max="1854" width="9.42578125" style="211" customWidth="1"/>
    <col min="1855" max="1856" width="9.140625" style="211"/>
    <col min="1857" max="1857" width="10.5703125" style="211" customWidth="1"/>
    <col min="1858" max="1858" width="9.140625" style="211"/>
    <col min="1859" max="1859" width="4" style="211" customWidth="1"/>
    <col min="1860" max="1860" width="9.42578125" style="211" customWidth="1"/>
    <col min="1861" max="1862" width="9.140625" style="211"/>
    <col min="1863" max="1863" width="10.5703125" style="211" customWidth="1"/>
    <col min="1864" max="1864" width="9.140625" style="211"/>
    <col min="1865" max="1865" width="4" style="211" customWidth="1"/>
    <col min="1866" max="1866" width="9.42578125" style="211" customWidth="1"/>
    <col min="1867" max="1868" width="9.140625" style="211"/>
    <col min="1869" max="1869" width="10.5703125" style="211" customWidth="1"/>
    <col min="1870" max="1870" width="9.140625" style="211"/>
    <col min="1871" max="1871" width="4" style="211" customWidth="1"/>
    <col min="1872" max="1872" width="9.42578125" style="211" customWidth="1"/>
    <col min="1873" max="1874" width="9.140625" style="211"/>
    <col min="1875" max="1875" width="10.5703125" style="211" customWidth="1"/>
    <col min="1876" max="1876" width="9.140625" style="211"/>
    <col min="1877" max="1877" width="4" style="211" customWidth="1"/>
    <col min="1878" max="1878" width="9.42578125" style="211" customWidth="1"/>
    <col min="1879" max="1880" width="9.140625" style="211"/>
    <col min="1881" max="1881" width="10.5703125" style="211" customWidth="1"/>
    <col min="1882" max="1882" width="9.140625" style="211"/>
    <col min="1883" max="1883" width="4" style="211" customWidth="1"/>
    <col min="1884" max="1884" width="9.42578125" style="211" customWidth="1"/>
    <col min="1885" max="1886" width="9.140625" style="211"/>
    <col min="1887" max="1887" width="10.5703125" style="211" customWidth="1"/>
    <col min="1888" max="1888" width="9.140625" style="211"/>
    <col min="1889" max="1889" width="4" style="211" customWidth="1"/>
    <col min="1890" max="1890" width="9.42578125" style="211" customWidth="1"/>
    <col min="1891" max="1892" width="9.140625" style="211"/>
    <col min="1893" max="1893" width="10.5703125" style="211" customWidth="1"/>
    <col min="1894" max="1894" width="9.140625" style="211"/>
    <col min="1895" max="1895" width="4" style="211" customWidth="1"/>
    <col min="1896" max="1896" width="12.42578125" style="211" customWidth="1"/>
    <col min="1897" max="1898" width="9.140625" style="211"/>
    <col min="1899" max="1899" width="10.5703125" style="211" customWidth="1"/>
    <col min="1900" max="1900" width="9.140625" style="211"/>
    <col min="1901" max="1901" width="4" style="211" customWidth="1"/>
    <col min="1902" max="1902" width="12.42578125" style="211" customWidth="1"/>
    <col min="1903" max="1904" width="9.140625" style="211"/>
    <col min="1905" max="1905" width="10.5703125" style="211" customWidth="1"/>
    <col min="1906" max="1906" width="9.140625" style="211"/>
    <col min="1907" max="1907" width="4" style="211" customWidth="1"/>
    <col min="1908" max="1908" width="12.42578125" style="211" customWidth="1"/>
    <col min="1909" max="1910" width="9.140625" style="211"/>
    <col min="1911" max="1911" width="10.5703125" style="211" customWidth="1"/>
    <col min="1912" max="1912" width="9.140625" style="211"/>
    <col min="1913" max="1913" width="4" style="211" customWidth="1"/>
    <col min="1914" max="1914" width="12.42578125" style="211" customWidth="1"/>
    <col min="1915" max="1916" width="9.140625" style="211"/>
    <col min="1917" max="1917" width="10.5703125" style="211" customWidth="1"/>
    <col min="1918" max="1918" width="9.140625" style="211"/>
    <col min="1919" max="1919" width="4" style="211" customWidth="1"/>
    <col min="1920" max="1920" width="12.42578125" style="211" customWidth="1"/>
    <col min="1921" max="1922" width="9.140625" style="211"/>
    <col min="1923" max="1923" width="10.5703125" style="211" customWidth="1"/>
    <col min="1924" max="2048" width="9.140625" style="211"/>
    <col min="2049" max="2049" width="2.7109375" style="211" customWidth="1"/>
    <col min="2050" max="2050" width="9.140625" style="211"/>
    <col min="2051" max="2051" width="9.42578125" style="211" customWidth="1"/>
    <col min="2052" max="2052" width="0" style="211" hidden="1" customWidth="1"/>
    <col min="2053" max="2053" width="9.140625" style="211"/>
    <col min="2054" max="2054" width="2.42578125" style="211" customWidth="1"/>
    <col min="2055" max="2055" width="9.140625" style="211"/>
    <col min="2056" max="2056" width="9.42578125" style="211" customWidth="1"/>
    <col min="2057" max="2057" width="0" style="211" hidden="1" customWidth="1"/>
    <col min="2058" max="2058" width="9.140625" style="211"/>
    <col min="2059" max="2059" width="2.28515625" style="211" customWidth="1"/>
    <col min="2060" max="2060" width="9.140625" style="211"/>
    <col min="2061" max="2061" width="9.42578125" style="211" customWidth="1"/>
    <col min="2062" max="2062" width="0" style="211" hidden="1" customWidth="1"/>
    <col min="2063" max="2063" width="9.140625" style="211"/>
    <col min="2064" max="2064" width="2.5703125" style="211" customWidth="1"/>
    <col min="2065" max="2065" width="9.140625" style="211"/>
    <col min="2066" max="2066" width="9.5703125" style="211" customWidth="1"/>
    <col min="2067" max="2067" width="0" style="211" hidden="1" customWidth="1"/>
    <col min="2068" max="2068" width="9.140625" style="211"/>
    <col min="2069" max="2069" width="2.7109375" style="211" customWidth="1"/>
    <col min="2070" max="2071" width="9.140625" style="211"/>
    <col min="2072" max="2072" width="3.140625" style="211" customWidth="1"/>
    <col min="2073" max="2073" width="4" style="211" customWidth="1"/>
    <col min="2074" max="2074" width="9.42578125" style="211" customWidth="1"/>
    <col min="2075" max="2076" width="9.140625" style="211"/>
    <col min="2077" max="2077" width="10.5703125" style="211" customWidth="1"/>
    <col min="2078" max="2078" width="9.140625" style="211"/>
    <col min="2079" max="2079" width="4" style="211" customWidth="1"/>
    <col min="2080" max="2080" width="9.42578125" style="211" customWidth="1"/>
    <col min="2081" max="2082" width="9.140625" style="211"/>
    <col min="2083" max="2083" width="10.5703125" style="211" customWidth="1"/>
    <col min="2084" max="2084" width="9.140625" style="211"/>
    <col min="2085" max="2085" width="4" style="211" customWidth="1"/>
    <col min="2086" max="2086" width="9.42578125" style="211" customWidth="1"/>
    <col min="2087" max="2088" width="9.140625" style="211"/>
    <col min="2089" max="2089" width="10.5703125" style="211" customWidth="1"/>
    <col min="2090" max="2090" width="9.140625" style="211"/>
    <col min="2091" max="2091" width="4" style="211" customWidth="1"/>
    <col min="2092" max="2092" width="9.42578125" style="211" customWidth="1"/>
    <col min="2093" max="2094" width="9.140625" style="211"/>
    <col min="2095" max="2095" width="10.5703125" style="211" customWidth="1"/>
    <col min="2096" max="2096" width="9.140625" style="211"/>
    <col min="2097" max="2097" width="4" style="211" customWidth="1"/>
    <col min="2098" max="2098" width="9.42578125" style="211" customWidth="1"/>
    <col min="2099" max="2100" width="9.140625" style="211"/>
    <col min="2101" max="2101" width="10.5703125" style="211" customWidth="1"/>
    <col min="2102" max="2102" width="9.140625" style="211"/>
    <col min="2103" max="2103" width="4" style="211" customWidth="1"/>
    <col min="2104" max="2104" width="9.42578125" style="211" customWidth="1"/>
    <col min="2105" max="2106" width="9.140625" style="211"/>
    <col min="2107" max="2107" width="10.5703125" style="211" customWidth="1"/>
    <col min="2108" max="2108" width="9.140625" style="211"/>
    <col min="2109" max="2109" width="4" style="211" customWidth="1"/>
    <col min="2110" max="2110" width="9.42578125" style="211" customWidth="1"/>
    <col min="2111" max="2112" width="9.140625" style="211"/>
    <col min="2113" max="2113" width="10.5703125" style="211" customWidth="1"/>
    <col min="2114" max="2114" width="9.140625" style="211"/>
    <col min="2115" max="2115" width="4" style="211" customWidth="1"/>
    <col min="2116" max="2116" width="9.42578125" style="211" customWidth="1"/>
    <col min="2117" max="2118" width="9.140625" style="211"/>
    <col min="2119" max="2119" width="10.5703125" style="211" customWidth="1"/>
    <col min="2120" max="2120" width="9.140625" style="211"/>
    <col min="2121" max="2121" width="4" style="211" customWidth="1"/>
    <col min="2122" max="2122" width="9.42578125" style="211" customWidth="1"/>
    <col min="2123" max="2124" width="9.140625" style="211"/>
    <col min="2125" max="2125" width="10.5703125" style="211" customWidth="1"/>
    <col min="2126" max="2126" width="9.140625" style="211"/>
    <col min="2127" max="2127" width="4" style="211" customWidth="1"/>
    <col min="2128" max="2128" width="9.42578125" style="211" customWidth="1"/>
    <col min="2129" max="2130" width="9.140625" style="211"/>
    <col min="2131" max="2131" width="10.5703125" style="211" customWidth="1"/>
    <col min="2132" max="2132" width="9.140625" style="211"/>
    <col min="2133" max="2133" width="4" style="211" customWidth="1"/>
    <col min="2134" max="2134" width="9.42578125" style="211" customWidth="1"/>
    <col min="2135" max="2136" width="9.140625" style="211"/>
    <col min="2137" max="2137" width="10.5703125" style="211" customWidth="1"/>
    <col min="2138" max="2138" width="9.140625" style="211"/>
    <col min="2139" max="2139" width="4" style="211" customWidth="1"/>
    <col min="2140" max="2140" width="9.42578125" style="211" customWidth="1"/>
    <col min="2141" max="2142" width="9.140625" style="211"/>
    <col min="2143" max="2143" width="10.5703125" style="211" customWidth="1"/>
    <col min="2144" max="2144" width="9.140625" style="211"/>
    <col min="2145" max="2145" width="4" style="211" customWidth="1"/>
    <col min="2146" max="2146" width="9.42578125" style="211" customWidth="1"/>
    <col min="2147" max="2148" width="9.140625" style="211"/>
    <col min="2149" max="2149" width="10.5703125" style="211" customWidth="1"/>
    <col min="2150" max="2150" width="9.140625" style="211"/>
    <col min="2151" max="2151" width="4" style="211" customWidth="1"/>
    <col min="2152" max="2152" width="12.42578125" style="211" customWidth="1"/>
    <col min="2153" max="2154" width="9.140625" style="211"/>
    <col min="2155" max="2155" width="10.5703125" style="211" customWidth="1"/>
    <col min="2156" max="2156" width="9.140625" style="211"/>
    <col min="2157" max="2157" width="4" style="211" customWidth="1"/>
    <col min="2158" max="2158" width="12.42578125" style="211" customWidth="1"/>
    <col min="2159" max="2160" width="9.140625" style="211"/>
    <col min="2161" max="2161" width="10.5703125" style="211" customWidth="1"/>
    <col min="2162" max="2162" width="9.140625" style="211"/>
    <col min="2163" max="2163" width="4" style="211" customWidth="1"/>
    <col min="2164" max="2164" width="12.42578125" style="211" customWidth="1"/>
    <col min="2165" max="2166" width="9.140625" style="211"/>
    <col min="2167" max="2167" width="10.5703125" style="211" customWidth="1"/>
    <col min="2168" max="2168" width="9.140625" style="211"/>
    <col min="2169" max="2169" width="4" style="211" customWidth="1"/>
    <col min="2170" max="2170" width="12.42578125" style="211" customWidth="1"/>
    <col min="2171" max="2172" width="9.140625" style="211"/>
    <col min="2173" max="2173" width="10.5703125" style="211" customWidth="1"/>
    <col min="2174" max="2174" width="9.140625" style="211"/>
    <col min="2175" max="2175" width="4" style="211" customWidth="1"/>
    <col min="2176" max="2176" width="12.42578125" style="211" customWidth="1"/>
    <col min="2177" max="2178" width="9.140625" style="211"/>
    <col min="2179" max="2179" width="10.5703125" style="211" customWidth="1"/>
    <col min="2180" max="2304" width="9.140625" style="211"/>
    <col min="2305" max="2305" width="2.7109375" style="211" customWidth="1"/>
    <col min="2306" max="2306" width="9.140625" style="211"/>
    <col min="2307" max="2307" width="9.42578125" style="211" customWidth="1"/>
    <col min="2308" max="2308" width="0" style="211" hidden="1" customWidth="1"/>
    <col min="2309" max="2309" width="9.140625" style="211"/>
    <col min="2310" max="2310" width="2.42578125" style="211" customWidth="1"/>
    <col min="2311" max="2311" width="9.140625" style="211"/>
    <col min="2312" max="2312" width="9.42578125" style="211" customWidth="1"/>
    <col min="2313" max="2313" width="0" style="211" hidden="1" customWidth="1"/>
    <col min="2314" max="2314" width="9.140625" style="211"/>
    <col min="2315" max="2315" width="2.28515625" style="211" customWidth="1"/>
    <col min="2316" max="2316" width="9.140625" style="211"/>
    <col min="2317" max="2317" width="9.42578125" style="211" customWidth="1"/>
    <col min="2318" max="2318" width="0" style="211" hidden="1" customWidth="1"/>
    <col min="2319" max="2319" width="9.140625" style="211"/>
    <col min="2320" max="2320" width="2.5703125" style="211" customWidth="1"/>
    <col min="2321" max="2321" width="9.140625" style="211"/>
    <col min="2322" max="2322" width="9.5703125" style="211" customWidth="1"/>
    <col min="2323" max="2323" width="0" style="211" hidden="1" customWidth="1"/>
    <col min="2324" max="2324" width="9.140625" style="211"/>
    <col min="2325" max="2325" width="2.7109375" style="211" customWidth="1"/>
    <col min="2326" max="2327" width="9.140625" style="211"/>
    <col min="2328" max="2328" width="3.140625" style="211" customWidth="1"/>
    <col min="2329" max="2329" width="4" style="211" customWidth="1"/>
    <col min="2330" max="2330" width="9.42578125" style="211" customWidth="1"/>
    <col min="2331" max="2332" width="9.140625" style="211"/>
    <col min="2333" max="2333" width="10.5703125" style="211" customWidth="1"/>
    <col min="2334" max="2334" width="9.140625" style="211"/>
    <col min="2335" max="2335" width="4" style="211" customWidth="1"/>
    <col min="2336" max="2336" width="9.42578125" style="211" customWidth="1"/>
    <col min="2337" max="2338" width="9.140625" style="211"/>
    <col min="2339" max="2339" width="10.5703125" style="211" customWidth="1"/>
    <col min="2340" max="2340" width="9.140625" style="211"/>
    <col min="2341" max="2341" width="4" style="211" customWidth="1"/>
    <col min="2342" max="2342" width="9.42578125" style="211" customWidth="1"/>
    <col min="2343" max="2344" width="9.140625" style="211"/>
    <col min="2345" max="2345" width="10.5703125" style="211" customWidth="1"/>
    <col min="2346" max="2346" width="9.140625" style="211"/>
    <col min="2347" max="2347" width="4" style="211" customWidth="1"/>
    <col min="2348" max="2348" width="9.42578125" style="211" customWidth="1"/>
    <col min="2349" max="2350" width="9.140625" style="211"/>
    <col min="2351" max="2351" width="10.5703125" style="211" customWidth="1"/>
    <col min="2352" max="2352" width="9.140625" style="211"/>
    <col min="2353" max="2353" width="4" style="211" customWidth="1"/>
    <col min="2354" max="2354" width="9.42578125" style="211" customWidth="1"/>
    <col min="2355" max="2356" width="9.140625" style="211"/>
    <col min="2357" max="2357" width="10.5703125" style="211" customWidth="1"/>
    <col min="2358" max="2358" width="9.140625" style="211"/>
    <col min="2359" max="2359" width="4" style="211" customWidth="1"/>
    <col min="2360" max="2360" width="9.42578125" style="211" customWidth="1"/>
    <col min="2361" max="2362" width="9.140625" style="211"/>
    <col min="2363" max="2363" width="10.5703125" style="211" customWidth="1"/>
    <col min="2364" max="2364" width="9.140625" style="211"/>
    <col min="2365" max="2365" width="4" style="211" customWidth="1"/>
    <col min="2366" max="2366" width="9.42578125" style="211" customWidth="1"/>
    <col min="2367" max="2368" width="9.140625" style="211"/>
    <col min="2369" max="2369" width="10.5703125" style="211" customWidth="1"/>
    <col min="2370" max="2370" width="9.140625" style="211"/>
    <col min="2371" max="2371" width="4" style="211" customWidth="1"/>
    <col min="2372" max="2372" width="9.42578125" style="211" customWidth="1"/>
    <col min="2373" max="2374" width="9.140625" style="211"/>
    <col min="2375" max="2375" width="10.5703125" style="211" customWidth="1"/>
    <col min="2376" max="2376" width="9.140625" style="211"/>
    <col min="2377" max="2377" width="4" style="211" customWidth="1"/>
    <col min="2378" max="2378" width="9.42578125" style="211" customWidth="1"/>
    <col min="2379" max="2380" width="9.140625" style="211"/>
    <col min="2381" max="2381" width="10.5703125" style="211" customWidth="1"/>
    <col min="2382" max="2382" width="9.140625" style="211"/>
    <col min="2383" max="2383" width="4" style="211" customWidth="1"/>
    <col min="2384" max="2384" width="9.42578125" style="211" customWidth="1"/>
    <col min="2385" max="2386" width="9.140625" style="211"/>
    <col min="2387" max="2387" width="10.5703125" style="211" customWidth="1"/>
    <col min="2388" max="2388" width="9.140625" style="211"/>
    <col min="2389" max="2389" width="4" style="211" customWidth="1"/>
    <col min="2390" max="2390" width="9.42578125" style="211" customWidth="1"/>
    <col min="2391" max="2392" width="9.140625" style="211"/>
    <col min="2393" max="2393" width="10.5703125" style="211" customWidth="1"/>
    <col min="2394" max="2394" width="9.140625" style="211"/>
    <col min="2395" max="2395" width="4" style="211" customWidth="1"/>
    <col min="2396" max="2396" width="9.42578125" style="211" customWidth="1"/>
    <col min="2397" max="2398" width="9.140625" style="211"/>
    <col min="2399" max="2399" width="10.5703125" style="211" customWidth="1"/>
    <col min="2400" max="2400" width="9.140625" style="211"/>
    <col min="2401" max="2401" width="4" style="211" customWidth="1"/>
    <col min="2402" max="2402" width="9.42578125" style="211" customWidth="1"/>
    <col min="2403" max="2404" width="9.140625" style="211"/>
    <col min="2405" max="2405" width="10.5703125" style="211" customWidth="1"/>
    <col min="2406" max="2406" width="9.140625" style="211"/>
    <col min="2407" max="2407" width="4" style="211" customWidth="1"/>
    <col min="2408" max="2408" width="12.42578125" style="211" customWidth="1"/>
    <col min="2409" max="2410" width="9.140625" style="211"/>
    <col min="2411" max="2411" width="10.5703125" style="211" customWidth="1"/>
    <col min="2412" max="2412" width="9.140625" style="211"/>
    <col min="2413" max="2413" width="4" style="211" customWidth="1"/>
    <col min="2414" max="2414" width="12.42578125" style="211" customWidth="1"/>
    <col min="2415" max="2416" width="9.140625" style="211"/>
    <col min="2417" max="2417" width="10.5703125" style="211" customWidth="1"/>
    <col min="2418" max="2418" width="9.140625" style="211"/>
    <col min="2419" max="2419" width="4" style="211" customWidth="1"/>
    <col min="2420" max="2420" width="12.42578125" style="211" customWidth="1"/>
    <col min="2421" max="2422" width="9.140625" style="211"/>
    <col min="2423" max="2423" width="10.5703125" style="211" customWidth="1"/>
    <col min="2424" max="2424" width="9.140625" style="211"/>
    <col min="2425" max="2425" width="4" style="211" customWidth="1"/>
    <col min="2426" max="2426" width="12.42578125" style="211" customWidth="1"/>
    <col min="2427" max="2428" width="9.140625" style="211"/>
    <col min="2429" max="2429" width="10.5703125" style="211" customWidth="1"/>
    <col min="2430" max="2430" width="9.140625" style="211"/>
    <col min="2431" max="2431" width="4" style="211" customWidth="1"/>
    <col min="2432" max="2432" width="12.42578125" style="211" customWidth="1"/>
    <col min="2433" max="2434" width="9.140625" style="211"/>
    <col min="2435" max="2435" width="10.5703125" style="211" customWidth="1"/>
    <col min="2436" max="2560" width="9.140625" style="211"/>
    <col min="2561" max="2561" width="2.7109375" style="211" customWidth="1"/>
    <col min="2562" max="2562" width="9.140625" style="211"/>
    <col min="2563" max="2563" width="9.42578125" style="211" customWidth="1"/>
    <col min="2564" max="2564" width="0" style="211" hidden="1" customWidth="1"/>
    <col min="2565" max="2565" width="9.140625" style="211"/>
    <col min="2566" max="2566" width="2.42578125" style="211" customWidth="1"/>
    <col min="2567" max="2567" width="9.140625" style="211"/>
    <col min="2568" max="2568" width="9.42578125" style="211" customWidth="1"/>
    <col min="2569" max="2569" width="0" style="211" hidden="1" customWidth="1"/>
    <col min="2570" max="2570" width="9.140625" style="211"/>
    <col min="2571" max="2571" width="2.28515625" style="211" customWidth="1"/>
    <col min="2572" max="2572" width="9.140625" style="211"/>
    <col min="2573" max="2573" width="9.42578125" style="211" customWidth="1"/>
    <col min="2574" max="2574" width="0" style="211" hidden="1" customWidth="1"/>
    <col min="2575" max="2575" width="9.140625" style="211"/>
    <col min="2576" max="2576" width="2.5703125" style="211" customWidth="1"/>
    <col min="2577" max="2577" width="9.140625" style="211"/>
    <col min="2578" max="2578" width="9.5703125" style="211" customWidth="1"/>
    <col min="2579" max="2579" width="0" style="211" hidden="1" customWidth="1"/>
    <col min="2580" max="2580" width="9.140625" style="211"/>
    <col min="2581" max="2581" width="2.7109375" style="211" customWidth="1"/>
    <col min="2582" max="2583" width="9.140625" style="211"/>
    <col min="2584" max="2584" width="3.140625" style="211" customWidth="1"/>
    <col min="2585" max="2585" width="4" style="211" customWidth="1"/>
    <col min="2586" max="2586" width="9.42578125" style="211" customWidth="1"/>
    <col min="2587" max="2588" width="9.140625" style="211"/>
    <col min="2589" max="2589" width="10.5703125" style="211" customWidth="1"/>
    <col min="2590" max="2590" width="9.140625" style="211"/>
    <col min="2591" max="2591" width="4" style="211" customWidth="1"/>
    <col min="2592" max="2592" width="9.42578125" style="211" customWidth="1"/>
    <col min="2593" max="2594" width="9.140625" style="211"/>
    <col min="2595" max="2595" width="10.5703125" style="211" customWidth="1"/>
    <col min="2596" max="2596" width="9.140625" style="211"/>
    <col min="2597" max="2597" width="4" style="211" customWidth="1"/>
    <col min="2598" max="2598" width="9.42578125" style="211" customWidth="1"/>
    <col min="2599" max="2600" width="9.140625" style="211"/>
    <col min="2601" max="2601" width="10.5703125" style="211" customWidth="1"/>
    <col min="2602" max="2602" width="9.140625" style="211"/>
    <col min="2603" max="2603" width="4" style="211" customWidth="1"/>
    <col min="2604" max="2604" width="9.42578125" style="211" customWidth="1"/>
    <col min="2605" max="2606" width="9.140625" style="211"/>
    <col min="2607" max="2607" width="10.5703125" style="211" customWidth="1"/>
    <col min="2608" max="2608" width="9.140625" style="211"/>
    <col min="2609" max="2609" width="4" style="211" customWidth="1"/>
    <col min="2610" max="2610" width="9.42578125" style="211" customWidth="1"/>
    <col min="2611" max="2612" width="9.140625" style="211"/>
    <col min="2613" max="2613" width="10.5703125" style="211" customWidth="1"/>
    <col min="2614" max="2614" width="9.140625" style="211"/>
    <col min="2615" max="2615" width="4" style="211" customWidth="1"/>
    <col min="2616" max="2616" width="9.42578125" style="211" customWidth="1"/>
    <col min="2617" max="2618" width="9.140625" style="211"/>
    <col min="2619" max="2619" width="10.5703125" style="211" customWidth="1"/>
    <col min="2620" max="2620" width="9.140625" style="211"/>
    <col min="2621" max="2621" width="4" style="211" customWidth="1"/>
    <col min="2622" max="2622" width="9.42578125" style="211" customWidth="1"/>
    <col min="2623" max="2624" width="9.140625" style="211"/>
    <col min="2625" max="2625" width="10.5703125" style="211" customWidth="1"/>
    <col min="2626" max="2626" width="9.140625" style="211"/>
    <col min="2627" max="2627" width="4" style="211" customWidth="1"/>
    <col min="2628" max="2628" width="9.42578125" style="211" customWidth="1"/>
    <col min="2629" max="2630" width="9.140625" style="211"/>
    <col min="2631" max="2631" width="10.5703125" style="211" customWidth="1"/>
    <col min="2632" max="2632" width="9.140625" style="211"/>
    <col min="2633" max="2633" width="4" style="211" customWidth="1"/>
    <col min="2634" max="2634" width="9.42578125" style="211" customWidth="1"/>
    <col min="2635" max="2636" width="9.140625" style="211"/>
    <col min="2637" max="2637" width="10.5703125" style="211" customWidth="1"/>
    <col min="2638" max="2638" width="9.140625" style="211"/>
    <col min="2639" max="2639" width="4" style="211" customWidth="1"/>
    <col min="2640" max="2640" width="9.42578125" style="211" customWidth="1"/>
    <col min="2641" max="2642" width="9.140625" style="211"/>
    <col min="2643" max="2643" width="10.5703125" style="211" customWidth="1"/>
    <col min="2644" max="2644" width="9.140625" style="211"/>
    <col min="2645" max="2645" width="4" style="211" customWidth="1"/>
    <col min="2646" max="2646" width="9.42578125" style="211" customWidth="1"/>
    <col min="2647" max="2648" width="9.140625" style="211"/>
    <col min="2649" max="2649" width="10.5703125" style="211" customWidth="1"/>
    <col min="2650" max="2650" width="9.140625" style="211"/>
    <col min="2651" max="2651" width="4" style="211" customWidth="1"/>
    <col min="2652" max="2652" width="9.42578125" style="211" customWidth="1"/>
    <col min="2653" max="2654" width="9.140625" style="211"/>
    <col min="2655" max="2655" width="10.5703125" style="211" customWidth="1"/>
    <col min="2656" max="2656" width="9.140625" style="211"/>
    <col min="2657" max="2657" width="4" style="211" customWidth="1"/>
    <col min="2658" max="2658" width="9.42578125" style="211" customWidth="1"/>
    <col min="2659" max="2660" width="9.140625" style="211"/>
    <col min="2661" max="2661" width="10.5703125" style="211" customWidth="1"/>
    <col min="2662" max="2662" width="9.140625" style="211"/>
    <col min="2663" max="2663" width="4" style="211" customWidth="1"/>
    <col min="2664" max="2664" width="12.42578125" style="211" customWidth="1"/>
    <col min="2665" max="2666" width="9.140625" style="211"/>
    <col min="2667" max="2667" width="10.5703125" style="211" customWidth="1"/>
    <col min="2668" max="2668" width="9.140625" style="211"/>
    <col min="2669" max="2669" width="4" style="211" customWidth="1"/>
    <col min="2670" max="2670" width="12.42578125" style="211" customWidth="1"/>
    <col min="2671" max="2672" width="9.140625" style="211"/>
    <col min="2673" max="2673" width="10.5703125" style="211" customWidth="1"/>
    <col min="2674" max="2674" width="9.140625" style="211"/>
    <col min="2675" max="2675" width="4" style="211" customWidth="1"/>
    <col min="2676" max="2676" width="12.42578125" style="211" customWidth="1"/>
    <col min="2677" max="2678" width="9.140625" style="211"/>
    <col min="2679" max="2679" width="10.5703125" style="211" customWidth="1"/>
    <col min="2680" max="2680" width="9.140625" style="211"/>
    <col min="2681" max="2681" width="4" style="211" customWidth="1"/>
    <col min="2682" max="2682" width="12.42578125" style="211" customWidth="1"/>
    <col min="2683" max="2684" width="9.140625" style="211"/>
    <col min="2685" max="2685" width="10.5703125" style="211" customWidth="1"/>
    <col min="2686" max="2686" width="9.140625" style="211"/>
    <col min="2687" max="2687" width="4" style="211" customWidth="1"/>
    <col min="2688" max="2688" width="12.42578125" style="211" customWidth="1"/>
    <col min="2689" max="2690" width="9.140625" style="211"/>
    <col min="2691" max="2691" width="10.5703125" style="211" customWidth="1"/>
    <col min="2692" max="2816" width="9.140625" style="211"/>
    <col min="2817" max="2817" width="2.7109375" style="211" customWidth="1"/>
    <col min="2818" max="2818" width="9.140625" style="211"/>
    <col min="2819" max="2819" width="9.42578125" style="211" customWidth="1"/>
    <col min="2820" max="2820" width="0" style="211" hidden="1" customWidth="1"/>
    <col min="2821" max="2821" width="9.140625" style="211"/>
    <col min="2822" max="2822" width="2.42578125" style="211" customWidth="1"/>
    <col min="2823" max="2823" width="9.140625" style="211"/>
    <col min="2824" max="2824" width="9.42578125" style="211" customWidth="1"/>
    <col min="2825" max="2825" width="0" style="211" hidden="1" customWidth="1"/>
    <col min="2826" max="2826" width="9.140625" style="211"/>
    <col min="2827" max="2827" width="2.28515625" style="211" customWidth="1"/>
    <col min="2828" max="2828" width="9.140625" style="211"/>
    <col min="2829" max="2829" width="9.42578125" style="211" customWidth="1"/>
    <col min="2830" max="2830" width="0" style="211" hidden="1" customWidth="1"/>
    <col min="2831" max="2831" width="9.140625" style="211"/>
    <col min="2832" max="2832" width="2.5703125" style="211" customWidth="1"/>
    <col min="2833" max="2833" width="9.140625" style="211"/>
    <col min="2834" max="2834" width="9.5703125" style="211" customWidth="1"/>
    <col min="2835" max="2835" width="0" style="211" hidden="1" customWidth="1"/>
    <col min="2836" max="2836" width="9.140625" style="211"/>
    <col min="2837" max="2837" width="2.7109375" style="211" customWidth="1"/>
    <col min="2838" max="2839" width="9.140625" style="211"/>
    <col min="2840" max="2840" width="3.140625" style="211" customWidth="1"/>
    <col min="2841" max="2841" width="4" style="211" customWidth="1"/>
    <col min="2842" max="2842" width="9.42578125" style="211" customWidth="1"/>
    <col min="2843" max="2844" width="9.140625" style="211"/>
    <col min="2845" max="2845" width="10.5703125" style="211" customWidth="1"/>
    <col min="2846" max="2846" width="9.140625" style="211"/>
    <col min="2847" max="2847" width="4" style="211" customWidth="1"/>
    <col min="2848" max="2848" width="9.42578125" style="211" customWidth="1"/>
    <col min="2849" max="2850" width="9.140625" style="211"/>
    <col min="2851" max="2851" width="10.5703125" style="211" customWidth="1"/>
    <col min="2852" max="2852" width="9.140625" style="211"/>
    <col min="2853" max="2853" width="4" style="211" customWidth="1"/>
    <col min="2854" max="2854" width="9.42578125" style="211" customWidth="1"/>
    <col min="2855" max="2856" width="9.140625" style="211"/>
    <col min="2857" max="2857" width="10.5703125" style="211" customWidth="1"/>
    <col min="2858" max="2858" width="9.140625" style="211"/>
    <col min="2859" max="2859" width="4" style="211" customWidth="1"/>
    <col min="2860" max="2860" width="9.42578125" style="211" customWidth="1"/>
    <col min="2861" max="2862" width="9.140625" style="211"/>
    <col min="2863" max="2863" width="10.5703125" style="211" customWidth="1"/>
    <col min="2864" max="2864" width="9.140625" style="211"/>
    <col min="2865" max="2865" width="4" style="211" customWidth="1"/>
    <col min="2866" max="2866" width="9.42578125" style="211" customWidth="1"/>
    <col min="2867" max="2868" width="9.140625" style="211"/>
    <col min="2869" max="2869" width="10.5703125" style="211" customWidth="1"/>
    <col min="2870" max="2870" width="9.140625" style="211"/>
    <col min="2871" max="2871" width="4" style="211" customWidth="1"/>
    <col min="2872" max="2872" width="9.42578125" style="211" customWidth="1"/>
    <col min="2873" max="2874" width="9.140625" style="211"/>
    <col min="2875" max="2875" width="10.5703125" style="211" customWidth="1"/>
    <col min="2876" max="2876" width="9.140625" style="211"/>
    <col min="2877" max="2877" width="4" style="211" customWidth="1"/>
    <col min="2878" max="2878" width="9.42578125" style="211" customWidth="1"/>
    <col min="2879" max="2880" width="9.140625" style="211"/>
    <col min="2881" max="2881" width="10.5703125" style="211" customWidth="1"/>
    <col min="2882" max="2882" width="9.140625" style="211"/>
    <col min="2883" max="2883" width="4" style="211" customWidth="1"/>
    <col min="2884" max="2884" width="9.42578125" style="211" customWidth="1"/>
    <col min="2885" max="2886" width="9.140625" style="211"/>
    <col min="2887" max="2887" width="10.5703125" style="211" customWidth="1"/>
    <col min="2888" max="2888" width="9.140625" style="211"/>
    <col min="2889" max="2889" width="4" style="211" customWidth="1"/>
    <col min="2890" max="2890" width="9.42578125" style="211" customWidth="1"/>
    <col min="2891" max="2892" width="9.140625" style="211"/>
    <col min="2893" max="2893" width="10.5703125" style="211" customWidth="1"/>
    <col min="2894" max="2894" width="9.140625" style="211"/>
    <col min="2895" max="2895" width="4" style="211" customWidth="1"/>
    <col min="2896" max="2896" width="9.42578125" style="211" customWidth="1"/>
    <col min="2897" max="2898" width="9.140625" style="211"/>
    <col min="2899" max="2899" width="10.5703125" style="211" customWidth="1"/>
    <col min="2900" max="2900" width="9.140625" style="211"/>
    <col min="2901" max="2901" width="4" style="211" customWidth="1"/>
    <col min="2902" max="2902" width="9.42578125" style="211" customWidth="1"/>
    <col min="2903" max="2904" width="9.140625" style="211"/>
    <col min="2905" max="2905" width="10.5703125" style="211" customWidth="1"/>
    <col min="2906" max="2906" width="9.140625" style="211"/>
    <col min="2907" max="2907" width="4" style="211" customWidth="1"/>
    <col min="2908" max="2908" width="9.42578125" style="211" customWidth="1"/>
    <col min="2909" max="2910" width="9.140625" style="211"/>
    <col min="2911" max="2911" width="10.5703125" style="211" customWidth="1"/>
    <col min="2912" max="2912" width="9.140625" style="211"/>
    <col min="2913" max="2913" width="4" style="211" customWidth="1"/>
    <col min="2914" max="2914" width="9.42578125" style="211" customWidth="1"/>
    <col min="2915" max="2916" width="9.140625" style="211"/>
    <col min="2917" max="2917" width="10.5703125" style="211" customWidth="1"/>
    <col min="2918" max="2918" width="9.140625" style="211"/>
    <col min="2919" max="2919" width="4" style="211" customWidth="1"/>
    <col min="2920" max="2920" width="12.42578125" style="211" customWidth="1"/>
    <col min="2921" max="2922" width="9.140625" style="211"/>
    <col min="2923" max="2923" width="10.5703125" style="211" customWidth="1"/>
    <col min="2924" max="2924" width="9.140625" style="211"/>
    <col min="2925" max="2925" width="4" style="211" customWidth="1"/>
    <col min="2926" max="2926" width="12.42578125" style="211" customWidth="1"/>
    <col min="2927" max="2928" width="9.140625" style="211"/>
    <col min="2929" max="2929" width="10.5703125" style="211" customWidth="1"/>
    <col min="2930" max="2930" width="9.140625" style="211"/>
    <col min="2931" max="2931" width="4" style="211" customWidth="1"/>
    <col min="2932" max="2932" width="12.42578125" style="211" customWidth="1"/>
    <col min="2933" max="2934" width="9.140625" style="211"/>
    <col min="2935" max="2935" width="10.5703125" style="211" customWidth="1"/>
    <col min="2936" max="2936" width="9.140625" style="211"/>
    <col min="2937" max="2937" width="4" style="211" customWidth="1"/>
    <col min="2938" max="2938" width="12.42578125" style="211" customWidth="1"/>
    <col min="2939" max="2940" width="9.140625" style="211"/>
    <col min="2941" max="2941" width="10.5703125" style="211" customWidth="1"/>
    <col min="2942" max="2942" width="9.140625" style="211"/>
    <col min="2943" max="2943" width="4" style="211" customWidth="1"/>
    <col min="2944" max="2944" width="12.42578125" style="211" customWidth="1"/>
    <col min="2945" max="2946" width="9.140625" style="211"/>
    <col min="2947" max="2947" width="10.5703125" style="211" customWidth="1"/>
    <col min="2948" max="3072" width="9.140625" style="211"/>
    <col min="3073" max="3073" width="2.7109375" style="211" customWidth="1"/>
    <col min="3074" max="3074" width="9.140625" style="211"/>
    <col min="3075" max="3075" width="9.42578125" style="211" customWidth="1"/>
    <col min="3076" max="3076" width="0" style="211" hidden="1" customWidth="1"/>
    <col min="3077" max="3077" width="9.140625" style="211"/>
    <col min="3078" max="3078" width="2.42578125" style="211" customWidth="1"/>
    <col min="3079" max="3079" width="9.140625" style="211"/>
    <col min="3080" max="3080" width="9.42578125" style="211" customWidth="1"/>
    <col min="3081" max="3081" width="0" style="211" hidden="1" customWidth="1"/>
    <col min="3082" max="3082" width="9.140625" style="211"/>
    <col min="3083" max="3083" width="2.28515625" style="211" customWidth="1"/>
    <col min="3084" max="3084" width="9.140625" style="211"/>
    <col min="3085" max="3085" width="9.42578125" style="211" customWidth="1"/>
    <col min="3086" max="3086" width="0" style="211" hidden="1" customWidth="1"/>
    <col min="3087" max="3087" width="9.140625" style="211"/>
    <col min="3088" max="3088" width="2.5703125" style="211" customWidth="1"/>
    <col min="3089" max="3089" width="9.140625" style="211"/>
    <col min="3090" max="3090" width="9.5703125" style="211" customWidth="1"/>
    <col min="3091" max="3091" width="0" style="211" hidden="1" customWidth="1"/>
    <col min="3092" max="3092" width="9.140625" style="211"/>
    <col min="3093" max="3093" width="2.7109375" style="211" customWidth="1"/>
    <col min="3094" max="3095" width="9.140625" style="211"/>
    <col min="3096" max="3096" width="3.140625" style="211" customWidth="1"/>
    <col min="3097" max="3097" width="4" style="211" customWidth="1"/>
    <col min="3098" max="3098" width="9.42578125" style="211" customWidth="1"/>
    <col min="3099" max="3100" width="9.140625" style="211"/>
    <col min="3101" max="3101" width="10.5703125" style="211" customWidth="1"/>
    <col min="3102" max="3102" width="9.140625" style="211"/>
    <col min="3103" max="3103" width="4" style="211" customWidth="1"/>
    <col min="3104" max="3104" width="9.42578125" style="211" customWidth="1"/>
    <col min="3105" max="3106" width="9.140625" style="211"/>
    <col min="3107" max="3107" width="10.5703125" style="211" customWidth="1"/>
    <col min="3108" max="3108" width="9.140625" style="211"/>
    <col min="3109" max="3109" width="4" style="211" customWidth="1"/>
    <col min="3110" max="3110" width="9.42578125" style="211" customWidth="1"/>
    <col min="3111" max="3112" width="9.140625" style="211"/>
    <col min="3113" max="3113" width="10.5703125" style="211" customWidth="1"/>
    <col min="3114" max="3114" width="9.140625" style="211"/>
    <col min="3115" max="3115" width="4" style="211" customWidth="1"/>
    <col min="3116" max="3116" width="9.42578125" style="211" customWidth="1"/>
    <col min="3117" max="3118" width="9.140625" style="211"/>
    <col min="3119" max="3119" width="10.5703125" style="211" customWidth="1"/>
    <col min="3120" max="3120" width="9.140625" style="211"/>
    <col min="3121" max="3121" width="4" style="211" customWidth="1"/>
    <col min="3122" max="3122" width="9.42578125" style="211" customWidth="1"/>
    <col min="3123" max="3124" width="9.140625" style="211"/>
    <col min="3125" max="3125" width="10.5703125" style="211" customWidth="1"/>
    <col min="3126" max="3126" width="9.140625" style="211"/>
    <col min="3127" max="3127" width="4" style="211" customWidth="1"/>
    <col min="3128" max="3128" width="9.42578125" style="211" customWidth="1"/>
    <col min="3129" max="3130" width="9.140625" style="211"/>
    <col min="3131" max="3131" width="10.5703125" style="211" customWidth="1"/>
    <col min="3132" max="3132" width="9.140625" style="211"/>
    <col min="3133" max="3133" width="4" style="211" customWidth="1"/>
    <col min="3134" max="3134" width="9.42578125" style="211" customWidth="1"/>
    <col min="3135" max="3136" width="9.140625" style="211"/>
    <col min="3137" max="3137" width="10.5703125" style="211" customWidth="1"/>
    <col min="3138" max="3138" width="9.140625" style="211"/>
    <col min="3139" max="3139" width="4" style="211" customWidth="1"/>
    <col min="3140" max="3140" width="9.42578125" style="211" customWidth="1"/>
    <col min="3141" max="3142" width="9.140625" style="211"/>
    <col min="3143" max="3143" width="10.5703125" style="211" customWidth="1"/>
    <col min="3144" max="3144" width="9.140625" style="211"/>
    <col min="3145" max="3145" width="4" style="211" customWidth="1"/>
    <col min="3146" max="3146" width="9.42578125" style="211" customWidth="1"/>
    <col min="3147" max="3148" width="9.140625" style="211"/>
    <col min="3149" max="3149" width="10.5703125" style="211" customWidth="1"/>
    <col min="3150" max="3150" width="9.140625" style="211"/>
    <col min="3151" max="3151" width="4" style="211" customWidth="1"/>
    <col min="3152" max="3152" width="9.42578125" style="211" customWidth="1"/>
    <col min="3153" max="3154" width="9.140625" style="211"/>
    <col min="3155" max="3155" width="10.5703125" style="211" customWidth="1"/>
    <col min="3156" max="3156" width="9.140625" style="211"/>
    <col min="3157" max="3157" width="4" style="211" customWidth="1"/>
    <col min="3158" max="3158" width="9.42578125" style="211" customWidth="1"/>
    <col min="3159" max="3160" width="9.140625" style="211"/>
    <col min="3161" max="3161" width="10.5703125" style="211" customWidth="1"/>
    <col min="3162" max="3162" width="9.140625" style="211"/>
    <col min="3163" max="3163" width="4" style="211" customWidth="1"/>
    <col min="3164" max="3164" width="9.42578125" style="211" customWidth="1"/>
    <col min="3165" max="3166" width="9.140625" style="211"/>
    <col min="3167" max="3167" width="10.5703125" style="211" customWidth="1"/>
    <col min="3168" max="3168" width="9.140625" style="211"/>
    <col min="3169" max="3169" width="4" style="211" customWidth="1"/>
    <col min="3170" max="3170" width="9.42578125" style="211" customWidth="1"/>
    <col min="3171" max="3172" width="9.140625" style="211"/>
    <col min="3173" max="3173" width="10.5703125" style="211" customWidth="1"/>
    <col min="3174" max="3174" width="9.140625" style="211"/>
    <col min="3175" max="3175" width="4" style="211" customWidth="1"/>
    <col min="3176" max="3176" width="12.42578125" style="211" customWidth="1"/>
    <col min="3177" max="3178" width="9.140625" style="211"/>
    <col min="3179" max="3179" width="10.5703125" style="211" customWidth="1"/>
    <col min="3180" max="3180" width="9.140625" style="211"/>
    <col min="3181" max="3181" width="4" style="211" customWidth="1"/>
    <col min="3182" max="3182" width="12.42578125" style="211" customWidth="1"/>
    <col min="3183" max="3184" width="9.140625" style="211"/>
    <col min="3185" max="3185" width="10.5703125" style="211" customWidth="1"/>
    <col min="3186" max="3186" width="9.140625" style="211"/>
    <col min="3187" max="3187" width="4" style="211" customWidth="1"/>
    <col min="3188" max="3188" width="12.42578125" style="211" customWidth="1"/>
    <col min="3189" max="3190" width="9.140625" style="211"/>
    <col min="3191" max="3191" width="10.5703125" style="211" customWidth="1"/>
    <col min="3192" max="3192" width="9.140625" style="211"/>
    <col min="3193" max="3193" width="4" style="211" customWidth="1"/>
    <col min="3194" max="3194" width="12.42578125" style="211" customWidth="1"/>
    <col min="3195" max="3196" width="9.140625" style="211"/>
    <col min="3197" max="3197" width="10.5703125" style="211" customWidth="1"/>
    <col min="3198" max="3198" width="9.140625" style="211"/>
    <col min="3199" max="3199" width="4" style="211" customWidth="1"/>
    <col min="3200" max="3200" width="12.42578125" style="211" customWidth="1"/>
    <col min="3201" max="3202" width="9.140625" style="211"/>
    <col min="3203" max="3203" width="10.5703125" style="211" customWidth="1"/>
    <col min="3204" max="3328" width="9.140625" style="211"/>
    <col min="3329" max="3329" width="2.7109375" style="211" customWidth="1"/>
    <col min="3330" max="3330" width="9.140625" style="211"/>
    <col min="3331" max="3331" width="9.42578125" style="211" customWidth="1"/>
    <col min="3332" max="3332" width="0" style="211" hidden="1" customWidth="1"/>
    <col min="3333" max="3333" width="9.140625" style="211"/>
    <col min="3334" max="3334" width="2.42578125" style="211" customWidth="1"/>
    <col min="3335" max="3335" width="9.140625" style="211"/>
    <col min="3336" max="3336" width="9.42578125" style="211" customWidth="1"/>
    <col min="3337" max="3337" width="0" style="211" hidden="1" customWidth="1"/>
    <col min="3338" max="3338" width="9.140625" style="211"/>
    <col min="3339" max="3339" width="2.28515625" style="211" customWidth="1"/>
    <col min="3340" max="3340" width="9.140625" style="211"/>
    <col min="3341" max="3341" width="9.42578125" style="211" customWidth="1"/>
    <col min="3342" max="3342" width="0" style="211" hidden="1" customWidth="1"/>
    <col min="3343" max="3343" width="9.140625" style="211"/>
    <col min="3344" max="3344" width="2.5703125" style="211" customWidth="1"/>
    <col min="3345" max="3345" width="9.140625" style="211"/>
    <col min="3346" max="3346" width="9.5703125" style="211" customWidth="1"/>
    <col min="3347" max="3347" width="0" style="211" hidden="1" customWidth="1"/>
    <col min="3348" max="3348" width="9.140625" style="211"/>
    <col min="3349" max="3349" width="2.7109375" style="211" customWidth="1"/>
    <col min="3350" max="3351" width="9.140625" style="211"/>
    <col min="3352" max="3352" width="3.140625" style="211" customWidth="1"/>
    <col min="3353" max="3353" width="4" style="211" customWidth="1"/>
    <col min="3354" max="3354" width="9.42578125" style="211" customWidth="1"/>
    <col min="3355" max="3356" width="9.140625" style="211"/>
    <col min="3357" max="3357" width="10.5703125" style="211" customWidth="1"/>
    <col min="3358" max="3358" width="9.140625" style="211"/>
    <col min="3359" max="3359" width="4" style="211" customWidth="1"/>
    <col min="3360" max="3360" width="9.42578125" style="211" customWidth="1"/>
    <col min="3361" max="3362" width="9.140625" style="211"/>
    <col min="3363" max="3363" width="10.5703125" style="211" customWidth="1"/>
    <col min="3364" max="3364" width="9.140625" style="211"/>
    <col min="3365" max="3365" width="4" style="211" customWidth="1"/>
    <col min="3366" max="3366" width="9.42578125" style="211" customWidth="1"/>
    <col min="3367" max="3368" width="9.140625" style="211"/>
    <col min="3369" max="3369" width="10.5703125" style="211" customWidth="1"/>
    <col min="3370" max="3370" width="9.140625" style="211"/>
    <col min="3371" max="3371" width="4" style="211" customWidth="1"/>
    <col min="3372" max="3372" width="9.42578125" style="211" customWidth="1"/>
    <col min="3373" max="3374" width="9.140625" style="211"/>
    <col min="3375" max="3375" width="10.5703125" style="211" customWidth="1"/>
    <col min="3376" max="3376" width="9.140625" style="211"/>
    <col min="3377" max="3377" width="4" style="211" customWidth="1"/>
    <col min="3378" max="3378" width="9.42578125" style="211" customWidth="1"/>
    <col min="3379" max="3380" width="9.140625" style="211"/>
    <col min="3381" max="3381" width="10.5703125" style="211" customWidth="1"/>
    <col min="3382" max="3382" width="9.140625" style="211"/>
    <col min="3383" max="3383" width="4" style="211" customWidth="1"/>
    <col min="3384" max="3384" width="9.42578125" style="211" customWidth="1"/>
    <col min="3385" max="3386" width="9.140625" style="211"/>
    <col min="3387" max="3387" width="10.5703125" style="211" customWidth="1"/>
    <col min="3388" max="3388" width="9.140625" style="211"/>
    <col min="3389" max="3389" width="4" style="211" customWidth="1"/>
    <col min="3390" max="3390" width="9.42578125" style="211" customWidth="1"/>
    <col min="3391" max="3392" width="9.140625" style="211"/>
    <col min="3393" max="3393" width="10.5703125" style="211" customWidth="1"/>
    <col min="3394" max="3394" width="9.140625" style="211"/>
    <col min="3395" max="3395" width="4" style="211" customWidth="1"/>
    <col min="3396" max="3396" width="9.42578125" style="211" customWidth="1"/>
    <col min="3397" max="3398" width="9.140625" style="211"/>
    <col min="3399" max="3399" width="10.5703125" style="211" customWidth="1"/>
    <col min="3400" max="3400" width="9.140625" style="211"/>
    <col min="3401" max="3401" width="4" style="211" customWidth="1"/>
    <col min="3402" max="3402" width="9.42578125" style="211" customWidth="1"/>
    <col min="3403" max="3404" width="9.140625" style="211"/>
    <col min="3405" max="3405" width="10.5703125" style="211" customWidth="1"/>
    <col min="3406" max="3406" width="9.140625" style="211"/>
    <col min="3407" max="3407" width="4" style="211" customWidth="1"/>
    <col min="3408" max="3408" width="9.42578125" style="211" customWidth="1"/>
    <col min="3409" max="3410" width="9.140625" style="211"/>
    <col min="3411" max="3411" width="10.5703125" style="211" customWidth="1"/>
    <col min="3412" max="3412" width="9.140625" style="211"/>
    <col min="3413" max="3413" width="4" style="211" customWidth="1"/>
    <col min="3414" max="3414" width="9.42578125" style="211" customWidth="1"/>
    <col min="3415" max="3416" width="9.140625" style="211"/>
    <col min="3417" max="3417" width="10.5703125" style="211" customWidth="1"/>
    <col min="3418" max="3418" width="9.140625" style="211"/>
    <col min="3419" max="3419" width="4" style="211" customWidth="1"/>
    <col min="3420" max="3420" width="9.42578125" style="211" customWidth="1"/>
    <col min="3421" max="3422" width="9.140625" style="211"/>
    <col min="3423" max="3423" width="10.5703125" style="211" customWidth="1"/>
    <col min="3424" max="3424" width="9.140625" style="211"/>
    <col min="3425" max="3425" width="4" style="211" customWidth="1"/>
    <col min="3426" max="3426" width="9.42578125" style="211" customWidth="1"/>
    <col min="3427" max="3428" width="9.140625" style="211"/>
    <col min="3429" max="3429" width="10.5703125" style="211" customWidth="1"/>
    <col min="3430" max="3430" width="9.140625" style="211"/>
    <col min="3431" max="3431" width="4" style="211" customWidth="1"/>
    <col min="3432" max="3432" width="12.42578125" style="211" customWidth="1"/>
    <col min="3433" max="3434" width="9.140625" style="211"/>
    <col min="3435" max="3435" width="10.5703125" style="211" customWidth="1"/>
    <col min="3436" max="3436" width="9.140625" style="211"/>
    <col min="3437" max="3437" width="4" style="211" customWidth="1"/>
    <col min="3438" max="3438" width="12.42578125" style="211" customWidth="1"/>
    <col min="3439" max="3440" width="9.140625" style="211"/>
    <col min="3441" max="3441" width="10.5703125" style="211" customWidth="1"/>
    <col min="3442" max="3442" width="9.140625" style="211"/>
    <col min="3443" max="3443" width="4" style="211" customWidth="1"/>
    <col min="3444" max="3444" width="12.42578125" style="211" customWidth="1"/>
    <col min="3445" max="3446" width="9.140625" style="211"/>
    <col min="3447" max="3447" width="10.5703125" style="211" customWidth="1"/>
    <col min="3448" max="3448" width="9.140625" style="211"/>
    <col min="3449" max="3449" width="4" style="211" customWidth="1"/>
    <col min="3450" max="3450" width="12.42578125" style="211" customWidth="1"/>
    <col min="3451" max="3452" width="9.140625" style="211"/>
    <col min="3453" max="3453" width="10.5703125" style="211" customWidth="1"/>
    <col min="3454" max="3454" width="9.140625" style="211"/>
    <col min="3455" max="3455" width="4" style="211" customWidth="1"/>
    <col min="3456" max="3456" width="12.42578125" style="211" customWidth="1"/>
    <col min="3457" max="3458" width="9.140625" style="211"/>
    <col min="3459" max="3459" width="10.5703125" style="211" customWidth="1"/>
    <col min="3460" max="3584" width="9.140625" style="211"/>
    <col min="3585" max="3585" width="2.7109375" style="211" customWidth="1"/>
    <col min="3586" max="3586" width="9.140625" style="211"/>
    <col min="3587" max="3587" width="9.42578125" style="211" customWidth="1"/>
    <col min="3588" max="3588" width="0" style="211" hidden="1" customWidth="1"/>
    <col min="3589" max="3589" width="9.140625" style="211"/>
    <col min="3590" max="3590" width="2.42578125" style="211" customWidth="1"/>
    <col min="3591" max="3591" width="9.140625" style="211"/>
    <col min="3592" max="3592" width="9.42578125" style="211" customWidth="1"/>
    <col min="3593" max="3593" width="0" style="211" hidden="1" customWidth="1"/>
    <col min="3594" max="3594" width="9.140625" style="211"/>
    <col min="3595" max="3595" width="2.28515625" style="211" customWidth="1"/>
    <col min="3596" max="3596" width="9.140625" style="211"/>
    <col min="3597" max="3597" width="9.42578125" style="211" customWidth="1"/>
    <col min="3598" max="3598" width="0" style="211" hidden="1" customWidth="1"/>
    <col min="3599" max="3599" width="9.140625" style="211"/>
    <col min="3600" max="3600" width="2.5703125" style="211" customWidth="1"/>
    <col min="3601" max="3601" width="9.140625" style="211"/>
    <col min="3602" max="3602" width="9.5703125" style="211" customWidth="1"/>
    <col min="3603" max="3603" width="0" style="211" hidden="1" customWidth="1"/>
    <col min="3604" max="3604" width="9.140625" style="211"/>
    <col min="3605" max="3605" width="2.7109375" style="211" customWidth="1"/>
    <col min="3606" max="3607" width="9.140625" style="211"/>
    <col min="3608" max="3608" width="3.140625" style="211" customWidth="1"/>
    <col min="3609" max="3609" width="4" style="211" customWidth="1"/>
    <col min="3610" max="3610" width="9.42578125" style="211" customWidth="1"/>
    <col min="3611" max="3612" width="9.140625" style="211"/>
    <col min="3613" max="3613" width="10.5703125" style="211" customWidth="1"/>
    <col min="3614" max="3614" width="9.140625" style="211"/>
    <col min="3615" max="3615" width="4" style="211" customWidth="1"/>
    <col min="3616" max="3616" width="9.42578125" style="211" customWidth="1"/>
    <col min="3617" max="3618" width="9.140625" style="211"/>
    <col min="3619" max="3619" width="10.5703125" style="211" customWidth="1"/>
    <col min="3620" max="3620" width="9.140625" style="211"/>
    <col min="3621" max="3621" width="4" style="211" customWidth="1"/>
    <col min="3622" max="3622" width="9.42578125" style="211" customWidth="1"/>
    <col min="3623" max="3624" width="9.140625" style="211"/>
    <col min="3625" max="3625" width="10.5703125" style="211" customWidth="1"/>
    <col min="3626" max="3626" width="9.140625" style="211"/>
    <col min="3627" max="3627" width="4" style="211" customWidth="1"/>
    <col min="3628" max="3628" width="9.42578125" style="211" customWidth="1"/>
    <col min="3629" max="3630" width="9.140625" style="211"/>
    <col min="3631" max="3631" width="10.5703125" style="211" customWidth="1"/>
    <col min="3632" max="3632" width="9.140625" style="211"/>
    <col min="3633" max="3633" width="4" style="211" customWidth="1"/>
    <col min="3634" max="3634" width="9.42578125" style="211" customWidth="1"/>
    <col min="3635" max="3636" width="9.140625" style="211"/>
    <col min="3637" max="3637" width="10.5703125" style="211" customWidth="1"/>
    <col min="3638" max="3638" width="9.140625" style="211"/>
    <col min="3639" max="3639" width="4" style="211" customWidth="1"/>
    <col min="3640" max="3640" width="9.42578125" style="211" customWidth="1"/>
    <col min="3641" max="3642" width="9.140625" style="211"/>
    <col min="3643" max="3643" width="10.5703125" style="211" customWidth="1"/>
    <col min="3644" max="3644" width="9.140625" style="211"/>
    <col min="3645" max="3645" width="4" style="211" customWidth="1"/>
    <col min="3646" max="3646" width="9.42578125" style="211" customWidth="1"/>
    <col min="3647" max="3648" width="9.140625" style="211"/>
    <col min="3649" max="3649" width="10.5703125" style="211" customWidth="1"/>
    <col min="3650" max="3650" width="9.140625" style="211"/>
    <col min="3651" max="3651" width="4" style="211" customWidth="1"/>
    <col min="3652" max="3652" width="9.42578125" style="211" customWidth="1"/>
    <col min="3653" max="3654" width="9.140625" style="211"/>
    <col min="3655" max="3655" width="10.5703125" style="211" customWidth="1"/>
    <col min="3656" max="3656" width="9.140625" style="211"/>
    <col min="3657" max="3657" width="4" style="211" customWidth="1"/>
    <col min="3658" max="3658" width="9.42578125" style="211" customWidth="1"/>
    <col min="3659" max="3660" width="9.140625" style="211"/>
    <col min="3661" max="3661" width="10.5703125" style="211" customWidth="1"/>
    <col min="3662" max="3662" width="9.140625" style="211"/>
    <col min="3663" max="3663" width="4" style="211" customWidth="1"/>
    <col min="3664" max="3664" width="9.42578125" style="211" customWidth="1"/>
    <col min="3665" max="3666" width="9.140625" style="211"/>
    <col min="3667" max="3667" width="10.5703125" style="211" customWidth="1"/>
    <col min="3668" max="3668" width="9.140625" style="211"/>
    <col min="3669" max="3669" width="4" style="211" customWidth="1"/>
    <col min="3670" max="3670" width="9.42578125" style="211" customWidth="1"/>
    <col min="3671" max="3672" width="9.140625" style="211"/>
    <col min="3673" max="3673" width="10.5703125" style="211" customWidth="1"/>
    <col min="3674" max="3674" width="9.140625" style="211"/>
    <col min="3675" max="3675" width="4" style="211" customWidth="1"/>
    <col min="3676" max="3676" width="9.42578125" style="211" customWidth="1"/>
    <col min="3677" max="3678" width="9.140625" style="211"/>
    <col min="3679" max="3679" width="10.5703125" style="211" customWidth="1"/>
    <col min="3680" max="3680" width="9.140625" style="211"/>
    <col min="3681" max="3681" width="4" style="211" customWidth="1"/>
    <col min="3682" max="3682" width="9.42578125" style="211" customWidth="1"/>
    <col min="3683" max="3684" width="9.140625" style="211"/>
    <col min="3685" max="3685" width="10.5703125" style="211" customWidth="1"/>
    <col min="3686" max="3686" width="9.140625" style="211"/>
    <col min="3687" max="3687" width="4" style="211" customWidth="1"/>
    <col min="3688" max="3688" width="12.42578125" style="211" customWidth="1"/>
    <col min="3689" max="3690" width="9.140625" style="211"/>
    <col min="3691" max="3691" width="10.5703125" style="211" customWidth="1"/>
    <col min="3692" max="3692" width="9.140625" style="211"/>
    <col min="3693" max="3693" width="4" style="211" customWidth="1"/>
    <col min="3694" max="3694" width="12.42578125" style="211" customWidth="1"/>
    <col min="3695" max="3696" width="9.140625" style="211"/>
    <col min="3697" max="3697" width="10.5703125" style="211" customWidth="1"/>
    <col min="3698" max="3698" width="9.140625" style="211"/>
    <col min="3699" max="3699" width="4" style="211" customWidth="1"/>
    <col min="3700" max="3700" width="12.42578125" style="211" customWidth="1"/>
    <col min="3701" max="3702" width="9.140625" style="211"/>
    <col min="3703" max="3703" width="10.5703125" style="211" customWidth="1"/>
    <col min="3704" max="3704" width="9.140625" style="211"/>
    <col min="3705" max="3705" width="4" style="211" customWidth="1"/>
    <col min="3706" max="3706" width="12.42578125" style="211" customWidth="1"/>
    <col min="3707" max="3708" width="9.140625" style="211"/>
    <col min="3709" max="3709" width="10.5703125" style="211" customWidth="1"/>
    <col min="3710" max="3710" width="9.140625" style="211"/>
    <col min="3711" max="3711" width="4" style="211" customWidth="1"/>
    <col min="3712" max="3712" width="12.42578125" style="211" customWidth="1"/>
    <col min="3713" max="3714" width="9.140625" style="211"/>
    <col min="3715" max="3715" width="10.5703125" style="211" customWidth="1"/>
    <col min="3716" max="3840" width="9.140625" style="211"/>
    <col min="3841" max="3841" width="2.7109375" style="211" customWidth="1"/>
    <col min="3842" max="3842" width="9.140625" style="211"/>
    <col min="3843" max="3843" width="9.42578125" style="211" customWidth="1"/>
    <col min="3844" max="3844" width="0" style="211" hidden="1" customWidth="1"/>
    <col min="3845" max="3845" width="9.140625" style="211"/>
    <col min="3846" max="3846" width="2.42578125" style="211" customWidth="1"/>
    <col min="3847" max="3847" width="9.140625" style="211"/>
    <col min="3848" max="3848" width="9.42578125" style="211" customWidth="1"/>
    <col min="3849" max="3849" width="0" style="211" hidden="1" customWidth="1"/>
    <col min="3850" max="3850" width="9.140625" style="211"/>
    <col min="3851" max="3851" width="2.28515625" style="211" customWidth="1"/>
    <col min="3852" max="3852" width="9.140625" style="211"/>
    <col min="3853" max="3853" width="9.42578125" style="211" customWidth="1"/>
    <col min="3854" max="3854" width="0" style="211" hidden="1" customWidth="1"/>
    <col min="3855" max="3855" width="9.140625" style="211"/>
    <col min="3856" max="3856" width="2.5703125" style="211" customWidth="1"/>
    <col min="3857" max="3857" width="9.140625" style="211"/>
    <col min="3858" max="3858" width="9.5703125" style="211" customWidth="1"/>
    <col min="3859" max="3859" width="0" style="211" hidden="1" customWidth="1"/>
    <col min="3860" max="3860" width="9.140625" style="211"/>
    <col min="3861" max="3861" width="2.7109375" style="211" customWidth="1"/>
    <col min="3862" max="3863" width="9.140625" style="211"/>
    <col min="3864" max="3864" width="3.140625" style="211" customWidth="1"/>
    <col min="3865" max="3865" width="4" style="211" customWidth="1"/>
    <col min="3866" max="3866" width="9.42578125" style="211" customWidth="1"/>
    <col min="3867" max="3868" width="9.140625" style="211"/>
    <col min="3869" max="3869" width="10.5703125" style="211" customWidth="1"/>
    <col min="3870" max="3870" width="9.140625" style="211"/>
    <col min="3871" max="3871" width="4" style="211" customWidth="1"/>
    <col min="3872" max="3872" width="9.42578125" style="211" customWidth="1"/>
    <col min="3873" max="3874" width="9.140625" style="211"/>
    <col min="3875" max="3875" width="10.5703125" style="211" customWidth="1"/>
    <col min="3876" max="3876" width="9.140625" style="211"/>
    <col min="3877" max="3877" width="4" style="211" customWidth="1"/>
    <col min="3878" max="3878" width="9.42578125" style="211" customWidth="1"/>
    <col min="3879" max="3880" width="9.140625" style="211"/>
    <col min="3881" max="3881" width="10.5703125" style="211" customWidth="1"/>
    <col min="3882" max="3882" width="9.140625" style="211"/>
    <col min="3883" max="3883" width="4" style="211" customWidth="1"/>
    <col min="3884" max="3884" width="9.42578125" style="211" customWidth="1"/>
    <col min="3885" max="3886" width="9.140625" style="211"/>
    <col min="3887" max="3887" width="10.5703125" style="211" customWidth="1"/>
    <col min="3888" max="3888" width="9.140625" style="211"/>
    <col min="3889" max="3889" width="4" style="211" customWidth="1"/>
    <col min="3890" max="3890" width="9.42578125" style="211" customWidth="1"/>
    <col min="3891" max="3892" width="9.140625" style="211"/>
    <col min="3893" max="3893" width="10.5703125" style="211" customWidth="1"/>
    <col min="3894" max="3894" width="9.140625" style="211"/>
    <col min="3895" max="3895" width="4" style="211" customWidth="1"/>
    <col min="3896" max="3896" width="9.42578125" style="211" customWidth="1"/>
    <col min="3897" max="3898" width="9.140625" style="211"/>
    <col min="3899" max="3899" width="10.5703125" style="211" customWidth="1"/>
    <col min="3900" max="3900" width="9.140625" style="211"/>
    <col min="3901" max="3901" width="4" style="211" customWidth="1"/>
    <col min="3902" max="3902" width="9.42578125" style="211" customWidth="1"/>
    <col min="3903" max="3904" width="9.140625" style="211"/>
    <col min="3905" max="3905" width="10.5703125" style="211" customWidth="1"/>
    <col min="3906" max="3906" width="9.140625" style="211"/>
    <col min="3907" max="3907" width="4" style="211" customWidth="1"/>
    <col min="3908" max="3908" width="9.42578125" style="211" customWidth="1"/>
    <col min="3909" max="3910" width="9.140625" style="211"/>
    <col min="3911" max="3911" width="10.5703125" style="211" customWidth="1"/>
    <col min="3912" max="3912" width="9.140625" style="211"/>
    <col min="3913" max="3913" width="4" style="211" customWidth="1"/>
    <col min="3914" max="3914" width="9.42578125" style="211" customWidth="1"/>
    <col min="3915" max="3916" width="9.140625" style="211"/>
    <col min="3917" max="3917" width="10.5703125" style="211" customWidth="1"/>
    <col min="3918" max="3918" width="9.140625" style="211"/>
    <col min="3919" max="3919" width="4" style="211" customWidth="1"/>
    <col min="3920" max="3920" width="9.42578125" style="211" customWidth="1"/>
    <col min="3921" max="3922" width="9.140625" style="211"/>
    <col min="3923" max="3923" width="10.5703125" style="211" customWidth="1"/>
    <col min="3924" max="3924" width="9.140625" style="211"/>
    <col min="3925" max="3925" width="4" style="211" customWidth="1"/>
    <col min="3926" max="3926" width="9.42578125" style="211" customWidth="1"/>
    <col min="3927" max="3928" width="9.140625" style="211"/>
    <col min="3929" max="3929" width="10.5703125" style="211" customWidth="1"/>
    <col min="3930" max="3930" width="9.140625" style="211"/>
    <col min="3931" max="3931" width="4" style="211" customWidth="1"/>
    <col min="3932" max="3932" width="9.42578125" style="211" customWidth="1"/>
    <col min="3933" max="3934" width="9.140625" style="211"/>
    <col min="3935" max="3935" width="10.5703125" style="211" customWidth="1"/>
    <col min="3936" max="3936" width="9.140625" style="211"/>
    <col min="3937" max="3937" width="4" style="211" customWidth="1"/>
    <col min="3938" max="3938" width="9.42578125" style="211" customWidth="1"/>
    <col min="3939" max="3940" width="9.140625" style="211"/>
    <col min="3941" max="3941" width="10.5703125" style="211" customWidth="1"/>
    <col min="3942" max="3942" width="9.140625" style="211"/>
    <col min="3943" max="3943" width="4" style="211" customWidth="1"/>
    <col min="3944" max="3944" width="12.42578125" style="211" customWidth="1"/>
    <col min="3945" max="3946" width="9.140625" style="211"/>
    <col min="3947" max="3947" width="10.5703125" style="211" customWidth="1"/>
    <col min="3948" max="3948" width="9.140625" style="211"/>
    <col min="3949" max="3949" width="4" style="211" customWidth="1"/>
    <col min="3950" max="3950" width="12.42578125" style="211" customWidth="1"/>
    <col min="3951" max="3952" width="9.140625" style="211"/>
    <col min="3953" max="3953" width="10.5703125" style="211" customWidth="1"/>
    <col min="3954" max="3954" width="9.140625" style="211"/>
    <col min="3955" max="3955" width="4" style="211" customWidth="1"/>
    <col min="3956" max="3956" width="12.42578125" style="211" customWidth="1"/>
    <col min="3957" max="3958" width="9.140625" style="211"/>
    <col min="3959" max="3959" width="10.5703125" style="211" customWidth="1"/>
    <col min="3960" max="3960" width="9.140625" style="211"/>
    <col min="3961" max="3961" width="4" style="211" customWidth="1"/>
    <col min="3962" max="3962" width="12.42578125" style="211" customWidth="1"/>
    <col min="3963" max="3964" width="9.140625" style="211"/>
    <col min="3965" max="3965" width="10.5703125" style="211" customWidth="1"/>
    <col min="3966" max="3966" width="9.140625" style="211"/>
    <col min="3967" max="3967" width="4" style="211" customWidth="1"/>
    <col min="3968" max="3968" width="12.42578125" style="211" customWidth="1"/>
    <col min="3969" max="3970" width="9.140625" style="211"/>
    <col min="3971" max="3971" width="10.5703125" style="211" customWidth="1"/>
    <col min="3972" max="4096" width="9.140625" style="211"/>
    <col min="4097" max="4097" width="2.7109375" style="211" customWidth="1"/>
    <col min="4098" max="4098" width="9.140625" style="211"/>
    <col min="4099" max="4099" width="9.42578125" style="211" customWidth="1"/>
    <col min="4100" max="4100" width="0" style="211" hidden="1" customWidth="1"/>
    <col min="4101" max="4101" width="9.140625" style="211"/>
    <col min="4102" max="4102" width="2.42578125" style="211" customWidth="1"/>
    <col min="4103" max="4103" width="9.140625" style="211"/>
    <col min="4104" max="4104" width="9.42578125" style="211" customWidth="1"/>
    <col min="4105" max="4105" width="0" style="211" hidden="1" customWidth="1"/>
    <col min="4106" max="4106" width="9.140625" style="211"/>
    <col min="4107" max="4107" width="2.28515625" style="211" customWidth="1"/>
    <col min="4108" max="4108" width="9.140625" style="211"/>
    <col min="4109" max="4109" width="9.42578125" style="211" customWidth="1"/>
    <col min="4110" max="4110" width="0" style="211" hidden="1" customWidth="1"/>
    <col min="4111" max="4111" width="9.140625" style="211"/>
    <col min="4112" max="4112" width="2.5703125" style="211" customWidth="1"/>
    <col min="4113" max="4113" width="9.140625" style="211"/>
    <col min="4114" max="4114" width="9.5703125" style="211" customWidth="1"/>
    <col min="4115" max="4115" width="0" style="211" hidden="1" customWidth="1"/>
    <col min="4116" max="4116" width="9.140625" style="211"/>
    <col min="4117" max="4117" width="2.7109375" style="211" customWidth="1"/>
    <col min="4118" max="4119" width="9.140625" style="211"/>
    <col min="4120" max="4120" width="3.140625" style="211" customWidth="1"/>
    <col min="4121" max="4121" width="4" style="211" customWidth="1"/>
    <col min="4122" max="4122" width="9.42578125" style="211" customWidth="1"/>
    <col min="4123" max="4124" width="9.140625" style="211"/>
    <col min="4125" max="4125" width="10.5703125" style="211" customWidth="1"/>
    <col min="4126" max="4126" width="9.140625" style="211"/>
    <col min="4127" max="4127" width="4" style="211" customWidth="1"/>
    <col min="4128" max="4128" width="9.42578125" style="211" customWidth="1"/>
    <col min="4129" max="4130" width="9.140625" style="211"/>
    <col min="4131" max="4131" width="10.5703125" style="211" customWidth="1"/>
    <col min="4132" max="4132" width="9.140625" style="211"/>
    <col min="4133" max="4133" width="4" style="211" customWidth="1"/>
    <col min="4134" max="4134" width="9.42578125" style="211" customWidth="1"/>
    <col min="4135" max="4136" width="9.140625" style="211"/>
    <col min="4137" max="4137" width="10.5703125" style="211" customWidth="1"/>
    <col min="4138" max="4138" width="9.140625" style="211"/>
    <col min="4139" max="4139" width="4" style="211" customWidth="1"/>
    <col min="4140" max="4140" width="9.42578125" style="211" customWidth="1"/>
    <col min="4141" max="4142" width="9.140625" style="211"/>
    <col min="4143" max="4143" width="10.5703125" style="211" customWidth="1"/>
    <col min="4144" max="4144" width="9.140625" style="211"/>
    <col min="4145" max="4145" width="4" style="211" customWidth="1"/>
    <col min="4146" max="4146" width="9.42578125" style="211" customWidth="1"/>
    <col min="4147" max="4148" width="9.140625" style="211"/>
    <col min="4149" max="4149" width="10.5703125" style="211" customWidth="1"/>
    <col min="4150" max="4150" width="9.140625" style="211"/>
    <col min="4151" max="4151" width="4" style="211" customWidth="1"/>
    <col min="4152" max="4152" width="9.42578125" style="211" customWidth="1"/>
    <col min="4153" max="4154" width="9.140625" style="211"/>
    <col min="4155" max="4155" width="10.5703125" style="211" customWidth="1"/>
    <col min="4156" max="4156" width="9.140625" style="211"/>
    <col min="4157" max="4157" width="4" style="211" customWidth="1"/>
    <col min="4158" max="4158" width="9.42578125" style="211" customWidth="1"/>
    <col min="4159" max="4160" width="9.140625" style="211"/>
    <col min="4161" max="4161" width="10.5703125" style="211" customWidth="1"/>
    <col min="4162" max="4162" width="9.140625" style="211"/>
    <col min="4163" max="4163" width="4" style="211" customWidth="1"/>
    <col min="4164" max="4164" width="9.42578125" style="211" customWidth="1"/>
    <col min="4165" max="4166" width="9.140625" style="211"/>
    <col min="4167" max="4167" width="10.5703125" style="211" customWidth="1"/>
    <col min="4168" max="4168" width="9.140625" style="211"/>
    <col min="4169" max="4169" width="4" style="211" customWidth="1"/>
    <col min="4170" max="4170" width="9.42578125" style="211" customWidth="1"/>
    <col min="4171" max="4172" width="9.140625" style="211"/>
    <col min="4173" max="4173" width="10.5703125" style="211" customWidth="1"/>
    <col min="4174" max="4174" width="9.140625" style="211"/>
    <col min="4175" max="4175" width="4" style="211" customWidth="1"/>
    <col min="4176" max="4176" width="9.42578125" style="211" customWidth="1"/>
    <col min="4177" max="4178" width="9.140625" style="211"/>
    <col min="4179" max="4179" width="10.5703125" style="211" customWidth="1"/>
    <col min="4180" max="4180" width="9.140625" style="211"/>
    <col min="4181" max="4181" width="4" style="211" customWidth="1"/>
    <col min="4182" max="4182" width="9.42578125" style="211" customWidth="1"/>
    <col min="4183" max="4184" width="9.140625" style="211"/>
    <col min="4185" max="4185" width="10.5703125" style="211" customWidth="1"/>
    <col min="4186" max="4186" width="9.140625" style="211"/>
    <col min="4187" max="4187" width="4" style="211" customWidth="1"/>
    <col min="4188" max="4188" width="9.42578125" style="211" customWidth="1"/>
    <col min="4189" max="4190" width="9.140625" style="211"/>
    <col min="4191" max="4191" width="10.5703125" style="211" customWidth="1"/>
    <col min="4192" max="4192" width="9.140625" style="211"/>
    <col min="4193" max="4193" width="4" style="211" customWidth="1"/>
    <col min="4194" max="4194" width="9.42578125" style="211" customWidth="1"/>
    <col min="4195" max="4196" width="9.140625" style="211"/>
    <col min="4197" max="4197" width="10.5703125" style="211" customWidth="1"/>
    <col min="4198" max="4198" width="9.140625" style="211"/>
    <col min="4199" max="4199" width="4" style="211" customWidth="1"/>
    <col min="4200" max="4200" width="12.42578125" style="211" customWidth="1"/>
    <col min="4201" max="4202" width="9.140625" style="211"/>
    <col min="4203" max="4203" width="10.5703125" style="211" customWidth="1"/>
    <col min="4204" max="4204" width="9.140625" style="211"/>
    <col min="4205" max="4205" width="4" style="211" customWidth="1"/>
    <col min="4206" max="4206" width="12.42578125" style="211" customWidth="1"/>
    <col min="4207" max="4208" width="9.140625" style="211"/>
    <col min="4209" max="4209" width="10.5703125" style="211" customWidth="1"/>
    <col min="4210" max="4210" width="9.140625" style="211"/>
    <col min="4211" max="4211" width="4" style="211" customWidth="1"/>
    <col min="4212" max="4212" width="12.42578125" style="211" customWidth="1"/>
    <col min="4213" max="4214" width="9.140625" style="211"/>
    <col min="4215" max="4215" width="10.5703125" style="211" customWidth="1"/>
    <col min="4216" max="4216" width="9.140625" style="211"/>
    <col min="4217" max="4217" width="4" style="211" customWidth="1"/>
    <col min="4218" max="4218" width="12.42578125" style="211" customWidth="1"/>
    <col min="4219" max="4220" width="9.140625" style="211"/>
    <col min="4221" max="4221" width="10.5703125" style="211" customWidth="1"/>
    <col min="4222" max="4222" width="9.140625" style="211"/>
    <col min="4223" max="4223" width="4" style="211" customWidth="1"/>
    <col min="4224" max="4224" width="12.42578125" style="211" customWidth="1"/>
    <col min="4225" max="4226" width="9.140625" style="211"/>
    <col min="4227" max="4227" width="10.5703125" style="211" customWidth="1"/>
    <col min="4228" max="4352" width="9.140625" style="211"/>
    <col min="4353" max="4353" width="2.7109375" style="211" customWidth="1"/>
    <col min="4354" max="4354" width="9.140625" style="211"/>
    <col min="4355" max="4355" width="9.42578125" style="211" customWidth="1"/>
    <col min="4356" max="4356" width="0" style="211" hidden="1" customWidth="1"/>
    <col min="4357" max="4357" width="9.140625" style="211"/>
    <col min="4358" max="4358" width="2.42578125" style="211" customWidth="1"/>
    <col min="4359" max="4359" width="9.140625" style="211"/>
    <col min="4360" max="4360" width="9.42578125" style="211" customWidth="1"/>
    <col min="4361" max="4361" width="0" style="211" hidden="1" customWidth="1"/>
    <col min="4362" max="4362" width="9.140625" style="211"/>
    <col min="4363" max="4363" width="2.28515625" style="211" customWidth="1"/>
    <col min="4364" max="4364" width="9.140625" style="211"/>
    <col min="4365" max="4365" width="9.42578125" style="211" customWidth="1"/>
    <col min="4366" max="4366" width="0" style="211" hidden="1" customWidth="1"/>
    <col min="4367" max="4367" width="9.140625" style="211"/>
    <col min="4368" max="4368" width="2.5703125" style="211" customWidth="1"/>
    <col min="4369" max="4369" width="9.140625" style="211"/>
    <col min="4370" max="4370" width="9.5703125" style="211" customWidth="1"/>
    <col min="4371" max="4371" width="0" style="211" hidden="1" customWidth="1"/>
    <col min="4372" max="4372" width="9.140625" style="211"/>
    <col min="4373" max="4373" width="2.7109375" style="211" customWidth="1"/>
    <col min="4374" max="4375" width="9.140625" style="211"/>
    <col min="4376" max="4376" width="3.140625" style="211" customWidth="1"/>
    <col min="4377" max="4377" width="4" style="211" customWidth="1"/>
    <col min="4378" max="4378" width="9.42578125" style="211" customWidth="1"/>
    <col min="4379" max="4380" width="9.140625" style="211"/>
    <col min="4381" max="4381" width="10.5703125" style="211" customWidth="1"/>
    <col min="4382" max="4382" width="9.140625" style="211"/>
    <col min="4383" max="4383" width="4" style="211" customWidth="1"/>
    <col min="4384" max="4384" width="9.42578125" style="211" customWidth="1"/>
    <col min="4385" max="4386" width="9.140625" style="211"/>
    <col min="4387" max="4387" width="10.5703125" style="211" customWidth="1"/>
    <col min="4388" max="4388" width="9.140625" style="211"/>
    <col min="4389" max="4389" width="4" style="211" customWidth="1"/>
    <col min="4390" max="4390" width="9.42578125" style="211" customWidth="1"/>
    <col min="4391" max="4392" width="9.140625" style="211"/>
    <col min="4393" max="4393" width="10.5703125" style="211" customWidth="1"/>
    <col min="4394" max="4394" width="9.140625" style="211"/>
    <col min="4395" max="4395" width="4" style="211" customWidth="1"/>
    <col min="4396" max="4396" width="9.42578125" style="211" customWidth="1"/>
    <col min="4397" max="4398" width="9.140625" style="211"/>
    <col min="4399" max="4399" width="10.5703125" style="211" customWidth="1"/>
    <col min="4400" max="4400" width="9.140625" style="211"/>
    <col min="4401" max="4401" width="4" style="211" customWidth="1"/>
    <col min="4402" max="4402" width="9.42578125" style="211" customWidth="1"/>
    <col min="4403" max="4404" width="9.140625" style="211"/>
    <col min="4405" max="4405" width="10.5703125" style="211" customWidth="1"/>
    <col min="4406" max="4406" width="9.140625" style="211"/>
    <col min="4407" max="4407" width="4" style="211" customWidth="1"/>
    <col min="4408" max="4408" width="9.42578125" style="211" customWidth="1"/>
    <col min="4409" max="4410" width="9.140625" style="211"/>
    <col min="4411" max="4411" width="10.5703125" style="211" customWidth="1"/>
    <col min="4412" max="4412" width="9.140625" style="211"/>
    <col min="4413" max="4413" width="4" style="211" customWidth="1"/>
    <col min="4414" max="4414" width="9.42578125" style="211" customWidth="1"/>
    <col min="4415" max="4416" width="9.140625" style="211"/>
    <col min="4417" max="4417" width="10.5703125" style="211" customWidth="1"/>
    <col min="4418" max="4418" width="9.140625" style="211"/>
    <col min="4419" max="4419" width="4" style="211" customWidth="1"/>
    <col min="4420" max="4420" width="9.42578125" style="211" customWidth="1"/>
    <col min="4421" max="4422" width="9.140625" style="211"/>
    <col min="4423" max="4423" width="10.5703125" style="211" customWidth="1"/>
    <col min="4424" max="4424" width="9.140625" style="211"/>
    <col min="4425" max="4425" width="4" style="211" customWidth="1"/>
    <col min="4426" max="4426" width="9.42578125" style="211" customWidth="1"/>
    <col min="4427" max="4428" width="9.140625" style="211"/>
    <col min="4429" max="4429" width="10.5703125" style="211" customWidth="1"/>
    <col min="4430" max="4430" width="9.140625" style="211"/>
    <col min="4431" max="4431" width="4" style="211" customWidth="1"/>
    <col min="4432" max="4432" width="9.42578125" style="211" customWidth="1"/>
    <col min="4433" max="4434" width="9.140625" style="211"/>
    <col min="4435" max="4435" width="10.5703125" style="211" customWidth="1"/>
    <col min="4436" max="4436" width="9.140625" style="211"/>
    <col min="4437" max="4437" width="4" style="211" customWidth="1"/>
    <col min="4438" max="4438" width="9.42578125" style="211" customWidth="1"/>
    <col min="4439" max="4440" width="9.140625" style="211"/>
    <col min="4441" max="4441" width="10.5703125" style="211" customWidth="1"/>
    <col min="4442" max="4442" width="9.140625" style="211"/>
    <col min="4443" max="4443" width="4" style="211" customWidth="1"/>
    <col min="4444" max="4444" width="9.42578125" style="211" customWidth="1"/>
    <col min="4445" max="4446" width="9.140625" style="211"/>
    <col min="4447" max="4447" width="10.5703125" style="211" customWidth="1"/>
    <col min="4448" max="4448" width="9.140625" style="211"/>
    <col min="4449" max="4449" width="4" style="211" customWidth="1"/>
    <col min="4450" max="4450" width="9.42578125" style="211" customWidth="1"/>
    <col min="4451" max="4452" width="9.140625" style="211"/>
    <col min="4453" max="4453" width="10.5703125" style="211" customWidth="1"/>
    <col min="4454" max="4454" width="9.140625" style="211"/>
    <col min="4455" max="4455" width="4" style="211" customWidth="1"/>
    <col min="4456" max="4456" width="12.42578125" style="211" customWidth="1"/>
    <col min="4457" max="4458" width="9.140625" style="211"/>
    <col min="4459" max="4459" width="10.5703125" style="211" customWidth="1"/>
    <col min="4460" max="4460" width="9.140625" style="211"/>
    <col min="4461" max="4461" width="4" style="211" customWidth="1"/>
    <col min="4462" max="4462" width="12.42578125" style="211" customWidth="1"/>
    <col min="4463" max="4464" width="9.140625" style="211"/>
    <col min="4465" max="4465" width="10.5703125" style="211" customWidth="1"/>
    <col min="4466" max="4466" width="9.140625" style="211"/>
    <col min="4467" max="4467" width="4" style="211" customWidth="1"/>
    <col min="4468" max="4468" width="12.42578125" style="211" customWidth="1"/>
    <col min="4469" max="4470" width="9.140625" style="211"/>
    <col min="4471" max="4471" width="10.5703125" style="211" customWidth="1"/>
    <col min="4472" max="4472" width="9.140625" style="211"/>
    <col min="4473" max="4473" width="4" style="211" customWidth="1"/>
    <col min="4474" max="4474" width="12.42578125" style="211" customWidth="1"/>
    <col min="4475" max="4476" width="9.140625" style="211"/>
    <col min="4477" max="4477" width="10.5703125" style="211" customWidth="1"/>
    <col min="4478" max="4478" width="9.140625" style="211"/>
    <col min="4479" max="4479" width="4" style="211" customWidth="1"/>
    <col min="4480" max="4480" width="12.42578125" style="211" customWidth="1"/>
    <col min="4481" max="4482" width="9.140625" style="211"/>
    <col min="4483" max="4483" width="10.5703125" style="211" customWidth="1"/>
    <col min="4484" max="4608" width="9.140625" style="211"/>
    <col min="4609" max="4609" width="2.7109375" style="211" customWidth="1"/>
    <col min="4610" max="4610" width="9.140625" style="211"/>
    <col min="4611" max="4611" width="9.42578125" style="211" customWidth="1"/>
    <col min="4612" max="4612" width="0" style="211" hidden="1" customWidth="1"/>
    <col min="4613" max="4613" width="9.140625" style="211"/>
    <col min="4614" max="4614" width="2.42578125" style="211" customWidth="1"/>
    <col min="4615" max="4615" width="9.140625" style="211"/>
    <col min="4616" max="4616" width="9.42578125" style="211" customWidth="1"/>
    <col min="4617" max="4617" width="0" style="211" hidden="1" customWidth="1"/>
    <col min="4618" max="4618" width="9.140625" style="211"/>
    <col min="4619" max="4619" width="2.28515625" style="211" customWidth="1"/>
    <col min="4620" max="4620" width="9.140625" style="211"/>
    <col min="4621" max="4621" width="9.42578125" style="211" customWidth="1"/>
    <col min="4622" max="4622" width="0" style="211" hidden="1" customWidth="1"/>
    <col min="4623" max="4623" width="9.140625" style="211"/>
    <col min="4624" max="4624" width="2.5703125" style="211" customWidth="1"/>
    <col min="4625" max="4625" width="9.140625" style="211"/>
    <col min="4626" max="4626" width="9.5703125" style="211" customWidth="1"/>
    <col min="4627" max="4627" width="0" style="211" hidden="1" customWidth="1"/>
    <col min="4628" max="4628" width="9.140625" style="211"/>
    <col min="4629" max="4629" width="2.7109375" style="211" customWidth="1"/>
    <col min="4630" max="4631" width="9.140625" style="211"/>
    <col min="4632" max="4632" width="3.140625" style="211" customWidth="1"/>
    <col min="4633" max="4633" width="4" style="211" customWidth="1"/>
    <col min="4634" max="4634" width="9.42578125" style="211" customWidth="1"/>
    <col min="4635" max="4636" width="9.140625" style="211"/>
    <col min="4637" max="4637" width="10.5703125" style="211" customWidth="1"/>
    <col min="4638" max="4638" width="9.140625" style="211"/>
    <col min="4639" max="4639" width="4" style="211" customWidth="1"/>
    <col min="4640" max="4640" width="9.42578125" style="211" customWidth="1"/>
    <col min="4641" max="4642" width="9.140625" style="211"/>
    <col min="4643" max="4643" width="10.5703125" style="211" customWidth="1"/>
    <col min="4644" max="4644" width="9.140625" style="211"/>
    <col min="4645" max="4645" width="4" style="211" customWidth="1"/>
    <col min="4646" max="4646" width="9.42578125" style="211" customWidth="1"/>
    <col min="4647" max="4648" width="9.140625" style="211"/>
    <col min="4649" max="4649" width="10.5703125" style="211" customWidth="1"/>
    <col min="4650" max="4650" width="9.140625" style="211"/>
    <col min="4651" max="4651" width="4" style="211" customWidth="1"/>
    <col min="4652" max="4652" width="9.42578125" style="211" customWidth="1"/>
    <col min="4653" max="4654" width="9.140625" style="211"/>
    <col min="4655" max="4655" width="10.5703125" style="211" customWidth="1"/>
    <col min="4656" max="4656" width="9.140625" style="211"/>
    <col min="4657" max="4657" width="4" style="211" customWidth="1"/>
    <col min="4658" max="4658" width="9.42578125" style="211" customWidth="1"/>
    <col min="4659" max="4660" width="9.140625" style="211"/>
    <col min="4661" max="4661" width="10.5703125" style="211" customWidth="1"/>
    <col min="4662" max="4662" width="9.140625" style="211"/>
    <col min="4663" max="4663" width="4" style="211" customWidth="1"/>
    <col min="4664" max="4664" width="9.42578125" style="211" customWidth="1"/>
    <col min="4665" max="4666" width="9.140625" style="211"/>
    <col min="4667" max="4667" width="10.5703125" style="211" customWidth="1"/>
    <col min="4668" max="4668" width="9.140625" style="211"/>
    <col min="4669" max="4669" width="4" style="211" customWidth="1"/>
    <col min="4670" max="4670" width="9.42578125" style="211" customWidth="1"/>
    <col min="4671" max="4672" width="9.140625" style="211"/>
    <col min="4673" max="4673" width="10.5703125" style="211" customWidth="1"/>
    <col min="4674" max="4674" width="9.140625" style="211"/>
    <col min="4675" max="4675" width="4" style="211" customWidth="1"/>
    <col min="4676" max="4676" width="9.42578125" style="211" customWidth="1"/>
    <col min="4677" max="4678" width="9.140625" style="211"/>
    <col min="4679" max="4679" width="10.5703125" style="211" customWidth="1"/>
    <col min="4680" max="4680" width="9.140625" style="211"/>
    <col min="4681" max="4681" width="4" style="211" customWidth="1"/>
    <col min="4682" max="4682" width="9.42578125" style="211" customWidth="1"/>
    <col min="4683" max="4684" width="9.140625" style="211"/>
    <col min="4685" max="4685" width="10.5703125" style="211" customWidth="1"/>
    <col min="4686" max="4686" width="9.140625" style="211"/>
    <col min="4687" max="4687" width="4" style="211" customWidth="1"/>
    <col min="4688" max="4688" width="9.42578125" style="211" customWidth="1"/>
    <col min="4689" max="4690" width="9.140625" style="211"/>
    <col min="4691" max="4691" width="10.5703125" style="211" customWidth="1"/>
    <col min="4692" max="4692" width="9.140625" style="211"/>
    <col min="4693" max="4693" width="4" style="211" customWidth="1"/>
    <col min="4694" max="4694" width="9.42578125" style="211" customWidth="1"/>
    <col min="4695" max="4696" width="9.140625" style="211"/>
    <col min="4697" max="4697" width="10.5703125" style="211" customWidth="1"/>
    <col min="4698" max="4698" width="9.140625" style="211"/>
    <col min="4699" max="4699" width="4" style="211" customWidth="1"/>
    <col min="4700" max="4700" width="9.42578125" style="211" customWidth="1"/>
    <col min="4701" max="4702" width="9.140625" style="211"/>
    <col min="4703" max="4703" width="10.5703125" style="211" customWidth="1"/>
    <col min="4704" max="4704" width="9.140625" style="211"/>
    <col min="4705" max="4705" width="4" style="211" customWidth="1"/>
    <col min="4706" max="4706" width="9.42578125" style="211" customWidth="1"/>
    <col min="4707" max="4708" width="9.140625" style="211"/>
    <col min="4709" max="4709" width="10.5703125" style="211" customWidth="1"/>
    <col min="4710" max="4710" width="9.140625" style="211"/>
    <col min="4711" max="4711" width="4" style="211" customWidth="1"/>
    <col min="4712" max="4712" width="12.42578125" style="211" customWidth="1"/>
    <col min="4713" max="4714" width="9.140625" style="211"/>
    <col min="4715" max="4715" width="10.5703125" style="211" customWidth="1"/>
    <col min="4716" max="4716" width="9.140625" style="211"/>
    <col min="4717" max="4717" width="4" style="211" customWidth="1"/>
    <col min="4718" max="4718" width="12.42578125" style="211" customWidth="1"/>
    <col min="4719" max="4720" width="9.140625" style="211"/>
    <col min="4721" max="4721" width="10.5703125" style="211" customWidth="1"/>
    <col min="4722" max="4722" width="9.140625" style="211"/>
    <col min="4723" max="4723" width="4" style="211" customWidth="1"/>
    <col min="4724" max="4724" width="12.42578125" style="211" customWidth="1"/>
    <col min="4725" max="4726" width="9.140625" style="211"/>
    <col min="4727" max="4727" width="10.5703125" style="211" customWidth="1"/>
    <col min="4728" max="4728" width="9.140625" style="211"/>
    <col min="4729" max="4729" width="4" style="211" customWidth="1"/>
    <col min="4730" max="4730" width="12.42578125" style="211" customWidth="1"/>
    <col min="4731" max="4732" width="9.140625" style="211"/>
    <col min="4733" max="4733" width="10.5703125" style="211" customWidth="1"/>
    <col min="4734" max="4734" width="9.140625" style="211"/>
    <col min="4735" max="4735" width="4" style="211" customWidth="1"/>
    <col min="4736" max="4736" width="12.42578125" style="211" customWidth="1"/>
    <col min="4737" max="4738" width="9.140625" style="211"/>
    <col min="4739" max="4739" width="10.5703125" style="211" customWidth="1"/>
    <col min="4740" max="4864" width="9.140625" style="211"/>
    <col min="4865" max="4865" width="2.7109375" style="211" customWidth="1"/>
    <col min="4866" max="4866" width="9.140625" style="211"/>
    <col min="4867" max="4867" width="9.42578125" style="211" customWidth="1"/>
    <col min="4868" max="4868" width="0" style="211" hidden="1" customWidth="1"/>
    <col min="4869" max="4869" width="9.140625" style="211"/>
    <col min="4870" max="4870" width="2.42578125" style="211" customWidth="1"/>
    <col min="4871" max="4871" width="9.140625" style="211"/>
    <col min="4872" max="4872" width="9.42578125" style="211" customWidth="1"/>
    <col min="4873" max="4873" width="0" style="211" hidden="1" customWidth="1"/>
    <col min="4874" max="4874" width="9.140625" style="211"/>
    <col min="4875" max="4875" width="2.28515625" style="211" customWidth="1"/>
    <col min="4876" max="4876" width="9.140625" style="211"/>
    <col min="4877" max="4877" width="9.42578125" style="211" customWidth="1"/>
    <col min="4878" max="4878" width="0" style="211" hidden="1" customWidth="1"/>
    <col min="4879" max="4879" width="9.140625" style="211"/>
    <col min="4880" max="4880" width="2.5703125" style="211" customWidth="1"/>
    <col min="4881" max="4881" width="9.140625" style="211"/>
    <col min="4882" max="4882" width="9.5703125" style="211" customWidth="1"/>
    <col min="4883" max="4883" width="0" style="211" hidden="1" customWidth="1"/>
    <col min="4884" max="4884" width="9.140625" style="211"/>
    <col min="4885" max="4885" width="2.7109375" style="211" customWidth="1"/>
    <col min="4886" max="4887" width="9.140625" style="211"/>
    <col min="4888" max="4888" width="3.140625" style="211" customWidth="1"/>
    <col min="4889" max="4889" width="4" style="211" customWidth="1"/>
    <col min="4890" max="4890" width="9.42578125" style="211" customWidth="1"/>
    <col min="4891" max="4892" width="9.140625" style="211"/>
    <col min="4893" max="4893" width="10.5703125" style="211" customWidth="1"/>
    <col min="4894" max="4894" width="9.140625" style="211"/>
    <col min="4895" max="4895" width="4" style="211" customWidth="1"/>
    <col min="4896" max="4896" width="9.42578125" style="211" customWidth="1"/>
    <col min="4897" max="4898" width="9.140625" style="211"/>
    <col min="4899" max="4899" width="10.5703125" style="211" customWidth="1"/>
    <col min="4900" max="4900" width="9.140625" style="211"/>
    <col min="4901" max="4901" width="4" style="211" customWidth="1"/>
    <col min="4902" max="4902" width="9.42578125" style="211" customWidth="1"/>
    <col min="4903" max="4904" width="9.140625" style="211"/>
    <col min="4905" max="4905" width="10.5703125" style="211" customWidth="1"/>
    <col min="4906" max="4906" width="9.140625" style="211"/>
    <col min="4907" max="4907" width="4" style="211" customWidth="1"/>
    <col min="4908" max="4908" width="9.42578125" style="211" customWidth="1"/>
    <col min="4909" max="4910" width="9.140625" style="211"/>
    <col min="4911" max="4911" width="10.5703125" style="211" customWidth="1"/>
    <col min="4912" max="4912" width="9.140625" style="211"/>
    <col min="4913" max="4913" width="4" style="211" customWidth="1"/>
    <col min="4914" max="4914" width="9.42578125" style="211" customWidth="1"/>
    <col min="4915" max="4916" width="9.140625" style="211"/>
    <col min="4917" max="4917" width="10.5703125" style="211" customWidth="1"/>
    <col min="4918" max="4918" width="9.140625" style="211"/>
    <col min="4919" max="4919" width="4" style="211" customWidth="1"/>
    <col min="4920" max="4920" width="9.42578125" style="211" customWidth="1"/>
    <col min="4921" max="4922" width="9.140625" style="211"/>
    <col min="4923" max="4923" width="10.5703125" style="211" customWidth="1"/>
    <col min="4924" max="4924" width="9.140625" style="211"/>
    <col min="4925" max="4925" width="4" style="211" customWidth="1"/>
    <col min="4926" max="4926" width="9.42578125" style="211" customWidth="1"/>
    <col min="4927" max="4928" width="9.140625" style="211"/>
    <col min="4929" max="4929" width="10.5703125" style="211" customWidth="1"/>
    <col min="4930" max="4930" width="9.140625" style="211"/>
    <col min="4931" max="4931" width="4" style="211" customWidth="1"/>
    <col min="4932" max="4932" width="9.42578125" style="211" customWidth="1"/>
    <col min="4933" max="4934" width="9.140625" style="211"/>
    <col min="4935" max="4935" width="10.5703125" style="211" customWidth="1"/>
    <col min="4936" max="4936" width="9.140625" style="211"/>
    <col min="4937" max="4937" width="4" style="211" customWidth="1"/>
    <col min="4938" max="4938" width="9.42578125" style="211" customWidth="1"/>
    <col min="4939" max="4940" width="9.140625" style="211"/>
    <col min="4941" max="4941" width="10.5703125" style="211" customWidth="1"/>
    <col min="4942" max="4942" width="9.140625" style="211"/>
    <col min="4943" max="4943" width="4" style="211" customWidth="1"/>
    <col min="4944" max="4944" width="9.42578125" style="211" customWidth="1"/>
    <col min="4945" max="4946" width="9.140625" style="211"/>
    <col min="4947" max="4947" width="10.5703125" style="211" customWidth="1"/>
    <col min="4948" max="4948" width="9.140625" style="211"/>
    <col min="4949" max="4949" width="4" style="211" customWidth="1"/>
    <col min="4950" max="4950" width="9.42578125" style="211" customWidth="1"/>
    <col min="4951" max="4952" width="9.140625" style="211"/>
    <col min="4953" max="4953" width="10.5703125" style="211" customWidth="1"/>
    <col min="4954" max="4954" width="9.140625" style="211"/>
    <col min="4955" max="4955" width="4" style="211" customWidth="1"/>
    <col min="4956" max="4956" width="9.42578125" style="211" customWidth="1"/>
    <col min="4957" max="4958" width="9.140625" style="211"/>
    <col min="4959" max="4959" width="10.5703125" style="211" customWidth="1"/>
    <col min="4960" max="4960" width="9.140625" style="211"/>
    <col min="4961" max="4961" width="4" style="211" customWidth="1"/>
    <col min="4962" max="4962" width="9.42578125" style="211" customWidth="1"/>
    <col min="4963" max="4964" width="9.140625" style="211"/>
    <col min="4965" max="4965" width="10.5703125" style="211" customWidth="1"/>
    <col min="4966" max="4966" width="9.140625" style="211"/>
    <col min="4967" max="4967" width="4" style="211" customWidth="1"/>
    <col min="4968" max="4968" width="12.42578125" style="211" customWidth="1"/>
    <col min="4969" max="4970" width="9.140625" style="211"/>
    <col min="4971" max="4971" width="10.5703125" style="211" customWidth="1"/>
    <col min="4972" max="4972" width="9.140625" style="211"/>
    <col min="4973" max="4973" width="4" style="211" customWidth="1"/>
    <col min="4974" max="4974" width="12.42578125" style="211" customWidth="1"/>
    <col min="4975" max="4976" width="9.140625" style="211"/>
    <col min="4977" max="4977" width="10.5703125" style="211" customWidth="1"/>
    <col min="4978" max="4978" width="9.140625" style="211"/>
    <col min="4979" max="4979" width="4" style="211" customWidth="1"/>
    <col min="4980" max="4980" width="12.42578125" style="211" customWidth="1"/>
    <col min="4981" max="4982" width="9.140625" style="211"/>
    <col min="4983" max="4983" width="10.5703125" style="211" customWidth="1"/>
    <col min="4984" max="4984" width="9.140625" style="211"/>
    <col min="4985" max="4985" width="4" style="211" customWidth="1"/>
    <col min="4986" max="4986" width="12.42578125" style="211" customWidth="1"/>
    <col min="4987" max="4988" width="9.140625" style="211"/>
    <col min="4989" max="4989" width="10.5703125" style="211" customWidth="1"/>
    <col min="4990" max="4990" width="9.140625" style="211"/>
    <col min="4991" max="4991" width="4" style="211" customWidth="1"/>
    <col min="4992" max="4992" width="12.42578125" style="211" customWidth="1"/>
    <col min="4993" max="4994" width="9.140625" style="211"/>
    <col min="4995" max="4995" width="10.5703125" style="211" customWidth="1"/>
    <col min="4996" max="5120" width="9.140625" style="211"/>
    <col min="5121" max="5121" width="2.7109375" style="211" customWidth="1"/>
    <col min="5122" max="5122" width="9.140625" style="211"/>
    <col min="5123" max="5123" width="9.42578125" style="211" customWidth="1"/>
    <col min="5124" max="5124" width="0" style="211" hidden="1" customWidth="1"/>
    <col min="5125" max="5125" width="9.140625" style="211"/>
    <col min="5126" max="5126" width="2.42578125" style="211" customWidth="1"/>
    <col min="5127" max="5127" width="9.140625" style="211"/>
    <col min="5128" max="5128" width="9.42578125" style="211" customWidth="1"/>
    <col min="5129" max="5129" width="0" style="211" hidden="1" customWidth="1"/>
    <col min="5130" max="5130" width="9.140625" style="211"/>
    <col min="5131" max="5131" width="2.28515625" style="211" customWidth="1"/>
    <col min="5132" max="5132" width="9.140625" style="211"/>
    <col min="5133" max="5133" width="9.42578125" style="211" customWidth="1"/>
    <col min="5134" max="5134" width="0" style="211" hidden="1" customWidth="1"/>
    <col min="5135" max="5135" width="9.140625" style="211"/>
    <col min="5136" max="5136" width="2.5703125" style="211" customWidth="1"/>
    <col min="5137" max="5137" width="9.140625" style="211"/>
    <col min="5138" max="5138" width="9.5703125" style="211" customWidth="1"/>
    <col min="5139" max="5139" width="0" style="211" hidden="1" customWidth="1"/>
    <col min="5140" max="5140" width="9.140625" style="211"/>
    <col min="5141" max="5141" width="2.7109375" style="211" customWidth="1"/>
    <col min="5142" max="5143" width="9.140625" style="211"/>
    <col min="5144" max="5144" width="3.140625" style="211" customWidth="1"/>
    <col min="5145" max="5145" width="4" style="211" customWidth="1"/>
    <col min="5146" max="5146" width="9.42578125" style="211" customWidth="1"/>
    <col min="5147" max="5148" width="9.140625" style="211"/>
    <col min="5149" max="5149" width="10.5703125" style="211" customWidth="1"/>
    <col min="5150" max="5150" width="9.140625" style="211"/>
    <col min="5151" max="5151" width="4" style="211" customWidth="1"/>
    <col min="5152" max="5152" width="9.42578125" style="211" customWidth="1"/>
    <col min="5153" max="5154" width="9.140625" style="211"/>
    <col min="5155" max="5155" width="10.5703125" style="211" customWidth="1"/>
    <col min="5156" max="5156" width="9.140625" style="211"/>
    <col min="5157" max="5157" width="4" style="211" customWidth="1"/>
    <col min="5158" max="5158" width="9.42578125" style="211" customWidth="1"/>
    <col min="5159" max="5160" width="9.140625" style="211"/>
    <col min="5161" max="5161" width="10.5703125" style="211" customWidth="1"/>
    <col min="5162" max="5162" width="9.140625" style="211"/>
    <col min="5163" max="5163" width="4" style="211" customWidth="1"/>
    <col min="5164" max="5164" width="9.42578125" style="211" customWidth="1"/>
    <col min="5165" max="5166" width="9.140625" style="211"/>
    <col min="5167" max="5167" width="10.5703125" style="211" customWidth="1"/>
    <col min="5168" max="5168" width="9.140625" style="211"/>
    <col min="5169" max="5169" width="4" style="211" customWidth="1"/>
    <col min="5170" max="5170" width="9.42578125" style="211" customWidth="1"/>
    <col min="5171" max="5172" width="9.140625" style="211"/>
    <col min="5173" max="5173" width="10.5703125" style="211" customWidth="1"/>
    <col min="5174" max="5174" width="9.140625" style="211"/>
    <col min="5175" max="5175" width="4" style="211" customWidth="1"/>
    <col min="5176" max="5176" width="9.42578125" style="211" customWidth="1"/>
    <col min="5177" max="5178" width="9.140625" style="211"/>
    <col min="5179" max="5179" width="10.5703125" style="211" customWidth="1"/>
    <col min="5180" max="5180" width="9.140625" style="211"/>
    <col min="5181" max="5181" width="4" style="211" customWidth="1"/>
    <col min="5182" max="5182" width="9.42578125" style="211" customWidth="1"/>
    <col min="5183" max="5184" width="9.140625" style="211"/>
    <col min="5185" max="5185" width="10.5703125" style="211" customWidth="1"/>
    <col min="5186" max="5186" width="9.140625" style="211"/>
    <col min="5187" max="5187" width="4" style="211" customWidth="1"/>
    <col min="5188" max="5188" width="9.42578125" style="211" customWidth="1"/>
    <col min="5189" max="5190" width="9.140625" style="211"/>
    <col min="5191" max="5191" width="10.5703125" style="211" customWidth="1"/>
    <col min="5192" max="5192" width="9.140625" style="211"/>
    <col min="5193" max="5193" width="4" style="211" customWidth="1"/>
    <col min="5194" max="5194" width="9.42578125" style="211" customWidth="1"/>
    <col min="5195" max="5196" width="9.140625" style="211"/>
    <col min="5197" max="5197" width="10.5703125" style="211" customWidth="1"/>
    <col min="5198" max="5198" width="9.140625" style="211"/>
    <col min="5199" max="5199" width="4" style="211" customWidth="1"/>
    <col min="5200" max="5200" width="9.42578125" style="211" customWidth="1"/>
    <col min="5201" max="5202" width="9.140625" style="211"/>
    <col min="5203" max="5203" width="10.5703125" style="211" customWidth="1"/>
    <col min="5204" max="5204" width="9.140625" style="211"/>
    <col min="5205" max="5205" width="4" style="211" customWidth="1"/>
    <col min="5206" max="5206" width="9.42578125" style="211" customWidth="1"/>
    <col min="5207" max="5208" width="9.140625" style="211"/>
    <col min="5209" max="5209" width="10.5703125" style="211" customWidth="1"/>
    <col min="5210" max="5210" width="9.140625" style="211"/>
    <col min="5211" max="5211" width="4" style="211" customWidth="1"/>
    <col min="5212" max="5212" width="9.42578125" style="211" customWidth="1"/>
    <col min="5213" max="5214" width="9.140625" style="211"/>
    <col min="5215" max="5215" width="10.5703125" style="211" customWidth="1"/>
    <col min="5216" max="5216" width="9.140625" style="211"/>
    <col min="5217" max="5217" width="4" style="211" customWidth="1"/>
    <col min="5218" max="5218" width="9.42578125" style="211" customWidth="1"/>
    <col min="5219" max="5220" width="9.140625" style="211"/>
    <col min="5221" max="5221" width="10.5703125" style="211" customWidth="1"/>
    <col min="5222" max="5222" width="9.140625" style="211"/>
    <col min="5223" max="5223" width="4" style="211" customWidth="1"/>
    <col min="5224" max="5224" width="12.42578125" style="211" customWidth="1"/>
    <col min="5225" max="5226" width="9.140625" style="211"/>
    <col min="5227" max="5227" width="10.5703125" style="211" customWidth="1"/>
    <col min="5228" max="5228" width="9.140625" style="211"/>
    <col min="5229" max="5229" width="4" style="211" customWidth="1"/>
    <col min="5230" max="5230" width="12.42578125" style="211" customWidth="1"/>
    <col min="5231" max="5232" width="9.140625" style="211"/>
    <col min="5233" max="5233" width="10.5703125" style="211" customWidth="1"/>
    <col min="5234" max="5234" width="9.140625" style="211"/>
    <col min="5235" max="5235" width="4" style="211" customWidth="1"/>
    <col min="5236" max="5236" width="12.42578125" style="211" customWidth="1"/>
    <col min="5237" max="5238" width="9.140625" style="211"/>
    <col min="5239" max="5239" width="10.5703125" style="211" customWidth="1"/>
    <col min="5240" max="5240" width="9.140625" style="211"/>
    <col min="5241" max="5241" width="4" style="211" customWidth="1"/>
    <col min="5242" max="5242" width="12.42578125" style="211" customWidth="1"/>
    <col min="5243" max="5244" width="9.140625" style="211"/>
    <col min="5245" max="5245" width="10.5703125" style="211" customWidth="1"/>
    <col min="5246" max="5246" width="9.140625" style="211"/>
    <col min="5247" max="5247" width="4" style="211" customWidth="1"/>
    <col min="5248" max="5248" width="12.42578125" style="211" customWidth="1"/>
    <col min="5249" max="5250" width="9.140625" style="211"/>
    <col min="5251" max="5251" width="10.5703125" style="211" customWidth="1"/>
    <col min="5252" max="5376" width="9.140625" style="211"/>
    <col min="5377" max="5377" width="2.7109375" style="211" customWidth="1"/>
    <col min="5378" max="5378" width="9.140625" style="211"/>
    <col min="5379" max="5379" width="9.42578125" style="211" customWidth="1"/>
    <col min="5380" max="5380" width="0" style="211" hidden="1" customWidth="1"/>
    <col min="5381" max="5381" width="9.140625" style="211"/>
    <col min="5382" max="5382" width="2.42578125" style="211" customWidth="1"/>
    <col min="5383" max="5383" width="9.140625" style="211"/>
    <col min="5384" max="5384" width="9.42578125" style="211" customWidth="1"/>
    <col min="5385" max="5385" width="0" style="211" hidden="1" customWidth="1"/>
    <col min="5386" max="5386" width="9.140625" style="211"/>
    <col min="5387" max="5387" width="2.28515625" style="211" customWidth="1"/>
    <col min="5388" max="5388" width="9.140625" style="211"/>
    <col min="5389" max="5389" width="9.42578125" style="211" customWidth="1"/>
    <col min="5390" max="5390" width="0" style="211" hidden="1" customWidth="1"/>
    <col min="5391" max="5391" width="9.140625" style="211"/>
    <col min="5392" max="5392" width="2.5703125" style="211" customWidth="1"/>
    <col min="5393" max="5393" width="9.140625" style="211"/>
    <col min="5394" max="5394" width="9.5703125" style="211" customWidth="1"/>
    <col min="5395" max="5395" width="0" style="211" hidden="1" customWidth="1"/>
    <col min="5396" max="5396" width="9.140625" style="211"/>
    <col min="5397" max="5397" width="2.7109375" style="211" customWidth="1"/>
    <col min="5398" max="5399" width="9.140625" style="211"/>
    <col min="5400" max="5400" width="3.140625" style="211" customWidth="1"/>
    <col min="5401" max="5401" width="4" style="211" customWidth="1"/>
    <col min="5402" max="5402" width="9.42578125" style="211" customWidth="1"/>
    <col min="5403" max="5404" width="9.140625" style="211"/>
    <col min="5405" max="5405" width="10.5703125" style="211" customWidth="1"/>
    <col min="5406" max="5406" width="9.140625" style="211"/>
    <col min="5407" max="5407" width="4" style="211" customWidth="1"/>
    <col min="5408" max="5408" width="9.42578125" style="211" customWidth="1"/>
    <col min="5409" max="5410" width="9.140625" style="211"/>
    <col min="5411" max="5411" width="10.5703125" style="211" customWidth="1"/>
    <col min="5412" max="5412" width="9.140625" style="211"/>
    <col min="5413" max="5413" width="4" style="211" customWidth="1"/>
    <col min="5414" max="5414" width="9.42578125" style="211" customWidth="1"/>
    <col min="5415" max="5416" width="9.140625" style="211"/>
    <col min="5417" max="5417" width="10.5703125" style="211" customWidth="1"/>
    <col min="5418" max="5418" width="9.140625" style="211"/>
    <col min="5419" max="5419" width="4" style="211" customWidth="1"/>
    <col min="5420" max="5420" width="9.42578125" style="211" customWidth="1"/>
    <col min="5421" max="5422" width="9.140625" style="211"/>
    <col min="5423" max="5423" width="10.5703125" style="211" customWidth="1"/>
    <col min="5424" max="5424" width="9.140625" style="211"/>
    <col min="5425" max="5425" width="4" style="211" customWidth="1"/>
    <col min="5426" max="5426" width="9.42578125" style="211" customWidth="1"/>
    <col min="5427" max="5428" width="9.140625" style="211"/>
    <col min="5429" max="5429" width="10.5703125" style="211" customWidth="1"/>
    <col min="5430" max="5430" width="9.140625" style="211"/>
    <col min="5431" max="5431" width="4" style="211" customWidth="1"/>
    <col min="5432" max="5432" width="9.42578125" style="211" customWidth="1"/>
    <col min="5433" max="5434" width="9.140625" style="211"/>
    <col min="5435" max="5435" width="10.5703125" style="211" customWidth="1"/>
    <col min="5436" max="5436" width="9.140625" style="211"/>
    <col min="5437" max="5437" width="4" style="211" customWidth="1"/>
    <col min="5438" max="5438" width="9.42578125" style="211" customWidth="1"/>
    <col min="5439" max="5440" width="9.140625" style="211"/>
    <col min="5441" max="5441" width="10.5703125" style="211" customWidth="1"/>
    <col min="5442" max="5442" width="9.140625" style="211"/>
    <col min="5443" max="5443" width="4" style="211" customWidth="1"/>
    <col min="5444" max="5444" width="9.42578125" style="211" customWidth="1"/>
    <col min="5445" max="5446" width="9.140625" style="211"/>
    <col min="5447" max="5447" width="10.5703125" style="211" customWidth="1"/>
    <col min="5448" max="5448" width="9.140625" style="211"/>
    <col min="5449" max="5449" width="4" style="211" customWidth="1"/>
    <col min="5450" max="5450" width="9.42578125" style="211" customWidth="1"/>
    <col min="5451" max="5452" width="9.140625" style="211"/>
    <col min="5453" max="5453" width="10.5703125" style="211" customWidth="1"/>
    <col min="5454" max="5454" width="9.140625" style="211"/>
    <col min="5455" max="5455" width="4" style="211" customWidth="1"/>
    <col min="5456" max="5456" width="9.42578125" style="211" customWidth="1"/>
    <col min="5457" max="5458" width="9.140625" style="211"/>
    <col min="5459" max="5459" width="10.5703125" style="211" customWidth="1"/>
    <col min="5460" max="5460" width="9.140625" style="211"/>
    <col min="5461" max="5461" width="4" style="211" customWidth="1"/>
    <col min="5462" max="5462" width="9.42578125" style="211" customWidth="1"/>
    <col min="5463" max="5464" width="9.140625" style="211"/>
    <col min="5465" max="5465" width="10.5703125" style="211" customWidth="1"/>
    <col min="5466" max="5466" width="9.140625" style="211"/>
    <col min="5467" max="5467" width="4" style="211" customWidth="1"/>
    <col min="5468" max="5468" width="9.42578125" style="211" customWidth="1"/>
    <col min="5469" max="5470" width="9.140625" style="211"/>
    <col min="5471" max="5471" width="10.5703125" style="211" customWidth="1"/>
    <col min="5472" max="5472" width="9.140625" style="211"/>
    <col min="5473" max="5473" width="4" style="211" customWidth="1"/>
    <col min="5474" max="5474" width="9.42578125" style="211" customWidth="1"/>
    <col min="5475" max="5476" width="9.140625" style="211"/>
    <col min="5477" max="5477" width="10.5703125" style="211" customWidth="1"/>
    <col min="5478" max="5478" width="9.140625" style="211"/>
    <col min="5479" max="5479" width="4" style="211" customWidth="1"/>
    <col min="5480" max="5480" width="12.42578125" style="211" customWidth="1"/>
    <col min="5481" max="5482" width="9.140625" style="211"/>
    <col min="5483" max="5483" width="10.5703125" style="211" customWidth="1"/>
    <col min="5484" max="5484" width="9.140625" style="211"/>
    <col min="5485" max="5485" width="4" style="211" customWidth="1"/>
    <col min="5486" max="5486" width="12.42578125" style="211" customWidth="1"/>
    <col min="5487" max="5488" width="9.140625" style="211"/>
    <col min="5489" max="5489" width="10.5703125" style="211" customWidth="1"/>
    <col min="5490" max="5490" width="9.140625" style="211"/>
    <col min="5491" max="5491" width="4" style="211" customWidth="1"/>
    <col min="5492" max="5492" width="12.42578125" style="211" customWidth="1"/>
    <col min="5493" max="5494" width="9.140625" style="211"/>
    <col min="5495" max="5495" width="10.5703125" style="211" customWidth="1"/>
    <col min="5496" max="5496" width="9.140625" style="211"/>
    <col min="5497" max="5497" width="4" style="211" customWidth="1"/>
    <col min="5498" max="5498" width="12.42578125" style="211" customWidth="1"/>
    <col min="5499" max="5500" width="9.140625" style="211"/>
    <col min="5501" max="5501" width="10.5703125" style="211" customWidth="1"/>
    <col min="5502" max="5502" width="9.140625" style="211"/>
    <col min="5503" max="5503" width="4" style="211" customWidth="1"/>
    <col min="5504" max="5504" width="12.42578125" style="211" customWidth="1"/>
    <col min="5505" max="5506" width="9.140625" style="211"/>
    <col min="5507" max="5507" width="10.5703125" style="211" customWidth="1"/>
    <col min="5508" max="5632" width="9.140625" style="211"/>
    <col min="5633" max="5633" width="2.7109375" style="211" customWidth="1"/>
    <col min="5634" max="5634" width="9.140625" style="211"/>
    <col min="5635" max="5635" width="9.42578125" style="211" customWidth="1"/>
    <col min="5636" max="5636" width="0" style="211" hidden="1" customWidth="1"/>
    <col min="5637" max="5637" width="9.140625" style="211"/>
    <col min="5638" max="5638" width="2.42578125" style="211" customWidth="1"/>
    <col min="5639" max="5639" width="9.140625" style="211"/>
    <col min="5640" max="5640" width="9.42578125" style="211" customWidth="1"/>
    <col min="5641" max="5641" width="0" style="211" hidden="1" customWidth="1"/>
    <col min="5642" max="5642" width="9.140625" style="211"/>
    <col min="5643" max="5643" width="2.28515625" style="211" customWidth="1"/>
    <col min="5644" max="5644" width="9.140625" style="211"/>
    <col min="5645" max="5645" width="9.42578125" style="211" customWidth="1"/>
    <col min="5646" max="5646" width="0" style="211" hidden="1" customWidth="1"/>
    <col min="5647" max="5647" width="9.140625" style="211"/>
    <col min="5648" max="5648" width="2.5703125" style="211" customWidth="1"/>
    <col min="5649" max="5649" width="9.140625" style="211"/>
    <col min="5650" max="5650" width="9.5703125" style="211" customWidth="1"/>
    <col min="5651" max="5651" width="0" style="211" hidden="1" customWidth="1"/>
    <col min="5652" max="5652" width="9.140625" style="211"/>
    <col min="5653" max="5653" width="2.7109375" style="211" customWidth="1"/>
    <col min="5654" max="5655" width="9.140625" style="211"/>
    <col min="5656" max="5656" width="3.140625" style="211" customWidth="1"/>
    <col min="5657" max="5657" width="4" style="211" customWidth="1"/>
    <col min="5658" max="5658" width="9.42578125" style="211" customWidth="1"/>
    <col min="5659" max="5660" width="9.140625" style="211"/>
    <col min="5661" max="5661" width="10.5703125" style="211" customWidth="1"/>
    <col min="5662" max="5662" width="9.140625" style="211"/>
    <col min="5663" max="5663" width="4" style="211" customWidth="1"/>
    <col min="5664" max="5664" width="9.42578125" style="211" customWidth="1"/>
    <col min="5665" max="5666" width="9.140625" style="211"/>
    <col min="5667" max="5667" width="10.5703125" style="211" customWidth="1"/>
    <col min="5668" max="5668" width="9.140625" style="211"/>
    <col min="5669" max="5669" width="4" style="211" customWidth="1"/>
    <col min="5670" max="5670" width="9.42578125" style="211" customWidth="1"/>
    <col min="5671" max="5672" width="9.140625" style="211"/>
    <col min="5673" max="5673" width="10.5703125" style="211" customWidth="1"/>
    <col min="5674" max="5674" width="9.140625" style="211"/>
    <col min="5675" max="5675" width="4" style="211" customWidth="1"/>
    <col min="5676" max="5676" width="9.42578125" style="211" customWidth="1"/>
    <col min="5677" max="5678" width="9.140625" style="211"/>
    <col min="5679" max="5679" width="10.5703125" style="211" customWidth="1"/>
    <col min="5680" max="5680" width="9.140625" style="211"/>
    <col min="5681" max="5681" width="4" style="211" customWidth="1"/>
    <col min="5682" max="5682" width="9.42578125" style="211" customWidth="1"/>
    <col min="5683" max="5684" width="9.140625" style="211"/>
    <col min="5685" max="5685" width="10.5703125" style="211" customWidth="1"/>
    <col min="5686" max="5686" width="9.140625" style="211"/>
    <col min="5687" max="5687" width="4" style="211" customWidth="1"/>
    <col min="5688" max="5688" width="9.42578125" style="211" customWidth="1"/>
    <col min="5689" max="5690" width="9.140625" style="211"/>
    <col min="5691" max="5691" width="10.5703125" style="211" customWidth="1"/>
    <col min="5692" max="5692" width="9.140625" style="211"/>
    <col min="5693" max="5693" width="4" style="211" customWidth="1"/>
    <col min="5694" max="5694" width="9.42578125" style="211" customWidth="1"/>
    <col min="5695" max="5696" width="9.140625" style="211"/>
    <col min="5697" max="5697" width="10.5703125" style="211" customWidth="1"/>
    <col min="5698" max="5698" width="9.140625" style="211"/>
    <col min="5699" max="5699" width="4" style="211" customWidth="1"/>
    <col min="5700" max="5700" width="9.42578125" style="211" customWidth="1"/>
    <col min="5701" max="5702" width="9.140625" style="211"/>
    <col min="5703" max="5703" width="10.5703125" style="211" customWidth="1"/>
    <col min="5704" max="5704" width="9.140625" style="211"/>
    <col min="5705" max="5705" width="4" style="211" customWidth="1"/>
    <col min="5706" max="5706" width="9.42578125" style="211" customWidth="1"/>
    <col min="5707" max="5708" width="9.140625" style="211"/>
    <col min="5709" max="5709" width="10.5703125" style="211" customWidth="1"/>
    <col min="5710" max="5710" width="9.140625" style="211"/>
    <col min="5711" max="5711" width="4" style="211" customWidth="1"/>
    <col min="5712" max="5712" width="9.42578125" style="211" customWidth="1"/>
    <col min="5713" max="5714" width="9.140625" style="211"/>
    <col min="5715" max="5715" width="10.5703125" style="211" customWidth="1"/>
    <col min="5716" max="5716" width="9.140625" style="211"/>
    <col min="5717" max="5717" width="4" style="211" customWidth="1"/>
    <col min="5718" max="5718" width="9.42578125" style="211" customWidth="1"/>
    <col min="5719" max="5720" width="9.140625" style="211"/>
    <col min="5721" max="5721" width="10.5703125" style="211" customWidth="1"/>
    <col min="5722" max="5722" width="9.140625" style="211"/>
    <col min="5723" max="5723" width="4" style="211" customWidth="1"/>
    <col min="5724" max="5724" width="9.42578125" style="211" customWidth="1"/>
    <col min="5725" max="5726" width="9.140625" style="211"/>
    <col min="5727" max="5727" width="10.5703125" style="211" customWidth="1"/>
    <col min="5728" max="5728" width="9.140625" style="211"/>
    <col min="5729" max="5729" width="4" style="211" customWidth="1"/>
    <col min="5730" max="5730" width="9.42578125" style="211" customWidth="1"/>
    <col min="5731" max="5732" width="9.140625" style="211"/>
    <col min="5733" max="5733" width="10.5703125" style="211" customWidth="1"/>
    <col min="5734" max="5734" width="9.140625" style="211"/>
    <col min="5735" max="5735" width="4" style="211" customWidth="1"/>
    <col min="5736" max="5736" width="12.42578125" style="211" customWidth="1"/>
    <col min="5737" max="5738" width="9.140625" style="211"/>
    <col min="5739" max="5739" width="10.5703125" style="211" customWidth="1"/>
    <col min="5740" max="5740" width="9.140625" style="211"/>
    <col min="5741" max="5741" width="4" style="211" customWidth="1"/>
    <col min="5742" max="5742" width="12.42578125" style="211" customWidth="1"/>
    <col min="5743" max="5744" width="9.140625" style="211"/>
    <col min="5745" max="5745" width="10.5703125" style="211" customWidth="1"/>
    <col min="5746" max="5746" width="9.140625" style="211"/>
    <col min="5747" max="5747" width="4" style="211" customWidth="1"/>
    <col min="5748" max="5748" width="12.42578125" style="211" customWidth="1"/>
    <col min="5749" max="5750" width="9.140625" style="211"/>
    <col min="5751" max="5751" width="10.5703125" style="211" customWidth="1"/>
    <col min="5752" max="5752" width="9.140625" style="211"/>
    <col min="5753" max="5753" width="4" style="211" customWidth="1"/>
    <col min="5754" max="5754" width="12.42578125" style="211" customWidth="1"/>
    <col min="5755" max="5756" width="9.140625" style="211"/>
    <col min="5757" max="5757" width="10.5703125" style="211" customWidth="1"/>
    <col min="5758" max="5758" width="9.140625" style="211"/>
    <col min="5759" max="5759" width="4" style="211" customWidth="1"/>
    <col min="5760" max="5760" width="12.42578125" style="211" customWidth="1"/>
    <col min="5761" max="5762" width="9.140625" style="211"/>
    <col min="5763" max="5763" width="10.5703125" style="211" customWidth="1"/>
    <col min="5764" max="5888" width="9.140625" style="211"/>
    <col min="5889" max="5889" width="2.7109375" style="211" customWidth="1"/>
    <col min="5890" max="5890" width="9.140625" style="211"/>
    <col min="5891" max="5891" width="9.42578125" style="211" customWidth="1"/>
    <col min="5892" max="5892" width="0" style="211" hidden="1" customWidth="1"/>
    <col min="5893" max="5893" width="9.140625" style="211"/>
    <col min="5894" max="5894" width="2.42578125" style="211" customWidth="1"/>
    <col min="5895" max="5895" width="9.140625" style="211"/>
    <col min="5896" max="5896" width="9.42578125" style="211" customWidth="1"/>
    <col min="5897" max="5897" width="0" style="211" hidden="1" customWidth="1"/>
    <col min="5898" max="5898" width="9.140625" style="211"/>
    <col min="5899" max="5899" width="2.28515625" style="211" customWidth="1"/>
    <col min="5900" max="5900" width="9.140625" style="211"/>
    <col min="5901" max="5901" width="9.42578125" style="211" customWidth="1"/>
    <col min="5902" max="5902" width="0" style="211" hidden="1" customWidth="1"/>
    <col min="5903" max="5903" width="9.140625" style="211"/>
    <col min="5904" max="5904" width="2.5703125" style="211" customWidth="1"/>
    <col min="5905" max="5905" width="9.140625" style="211"/>
    <col min="5906" max="5906" width="9.5703125" style="211" customWidth="1"/>
    <col min="5907" max="5907" width="0" style="211" hidden="1" customWidth="1"/>
    <col min="5908" max="5908" width="9.140625" style="211"/>
    <col min="5909" max="5909" width="2.7109375" style="211" customWidth="1"/>
    <col min="5910" max="5911" width="9.140625" style="211"/>
    <col min="5912" max="5912" width="3.140625" style="211" customWidth="1"/>
    <col min="5913" max="5913" width="4" style="211" customWidth="1"/>
    <col min="5914" max="5914" width="9.42578125" style="211" customWidth="1"/>
    <col min="5915" max="5916" width="9.140625" style="211"/>
    <col min="5917" max="5917" width="10.5703125" style="211" customWidth="1"/>
    <col min="5918" max="5918" width="9.140625" style="211"/>
    <col min="5919" max="5919" width="4" style="211" customWidth="1"/>
    <col min="5920" max="5920" width="9.42578125" style="211" customWidth="1"/>
    <col min="5921" max="5922" width="9.140625" style="211"/>
    <col min="5923" max="5923" width="10.5703125" style="211" customWidth="1"/>
    <col min="5924" max="5924" width="9.140625" style="211"/>
    <col min="5925" max="5925" width="4" style="211" customWidth="1"/>
    <col min="5926" max="5926" width="9.42578125" style="211" customWidth="1"/>
    <col min="5927" max="5928" width="9.140625" style="211"/>
    <col min="5929" max="5929" width="10.5703125" style="211" customWidth="1"/>
    <col min="5930" max="5930" width="9.140625" style="211"/>
    <col min="5931" max="5931" width="4" style="211" customWidth="1"/>
    <col min="5932" max="5932" width="9.42578125" style="211" customWidth="1"/>
    <col min="5933" max="5934" width="9.140625" style="211"/>
    <col min="5935" max="5935" width="10.5703125" style="211" customWidth="1"/>
    <col min="5936" max="5936" width="9.140625" style="211"/>
    <col min="5937" max="5937" width="4" style="211" customWidth="1"/>
    <col min="5938" max="5938" width="9.42578125" style="211" customWidth="1"/>
    <col min="5939" max="5940" width="9.140625" style="211"/>
    <col min="5941" max="5941" width="10.5703125" style="211" customWidth="1"/>
    <col min="5942" max="5942" width="9.140625" style="211"/>
    <col min="5943" max="5943" width="4" style="211" customWidth="1"/>
    <col min="5944" max="5944" width="9.42578125" style="211" customWidth="1"/>
    <col min="5945" max="5946" width="9.140625" style="211"/>
    <col min="5947" max="5947" width="10.5703125" style="211" customWidth="1"/>
    <col min="5948" max="5948" width="9.140625" style="211"/>
    <col min="5949" max="5949" width="4" style="211" customWidth="1"/>
    <col min="5950" max="5950" width="9.42578125" style="211" customWidth="1"/>
    <col min="5951" max="5952" width="9.140625" style="211"/>
    <col min="5953" max="5953" width="10.5703125" style="211" customWidth="1"/>
    <col min="5954" max="5954" width="9.140625" style="211"/>
    <col min="5955" max="5955" width="4" style="211" customWidth="1"/>
    <col min="5956" max="5956" width="9.42578125" style="211" customWidth="1"/>
    <col min="5957" max="5958" width="9.140625" style="211"/>
    <col min="5959" max="5959" width="10.5703125" style="211" customWidth="1"/>
    <col min="5960" max="5960" width="9.140625" style="211"/>
    <col min="5961" max="5961" width="4" style="211" customWidth="1"/>
    <col min="5962" max="5962" width="9.42578125" style="211" customWidth="1"/>
    <col min="5963" max="5964" width="9.140625" style="211"/>
    <col min="5965" max="5965" width="10.5703125" style="211" customWidth="1"/>
    <col min="5966" max="5966" width="9.140625" style="211"/>
    <col min="5967" max="5967" width="4" style="211" customWidth="1"/>
    <col min="5968" max="5968" width="9.42578125" style="211" customWidth="1"/>
    <col min="5969" max="5970" width="9.140625" style="211"/>
    <col min="5971" max="5971" width="10.5703125" style="211" customWidth="1"/>
    <col min="5972" max="5972" width="9.140625" style="211"/>
    <col min="5973" max="5973" width="4" style="211" customWidth="1"/>
    <col min="5974" max="5974" width="9.42578125" style="211" customWidth="1"/>
    <col min="5975" max="5976" width="9.140625" style="211"/>
    <col min="5977" max="5977" width="10.5703125" style="211" customWidth="1"/>
    <col min="5978" max="5978" width="9.140625" style="211"/>
    <col min="5979" max="5979" width="4" style="211" customWidth="1"/>
    <col min="5980" max="5980" width="9.42578125" style="211" customWidth="1"/>
    <col min="5981" max="5982" width="9.140625" style="211"/>
    <col min="5983" max="5983" width="10.5703125" style="211" customWidth="1"/>
    <col min="5984" max="5984" width="9.140625" style="211"/>
    <col min="5985" max="5985" width="4" style="211" customWidth="1"/>
    <col min="5986" max="5986" width="9.42578125" style="211" customWidth="1"/>
    <col min="5987" max="5988" width="9.140625" style="211"/>
    <col min="5989" max="5989" width="10.5703125" style="211" customWidth="1"/>
    <col min="5990" max="5990" width="9.140625" style="211"/>
    <col min="5991" max="5991" width="4" style="211" customWidth="1"/>
    <col min="5992" max="5992" width="12.42578125" style="211" customWidth="1"/>
    <col min="5993" max="5994" width="9.140625" style="211"/>
    <col min="5995" max="5995" width="10.5703125" style="211" customWidth="1"/>
    <col min="5996" max="5996" width="9.140625" style="211"/>
    <col min="5997" max="5997" width="4" style="211" customWidth="1"/>
    <col min="5998" max="5998" width="12.42578125" style="211" customWidth="1"/>
    <col min="5999" max="6000" width="9.140625" style="211"/>
    <col min="6001" max="6001" width="10.5703125" style="211" customWidth="1"/>
    <col min="6002" max="6002" width="9.140625" style="211"/>
    <col min="6003" max="6003" width="4" style="211" customWidth="1"/>
    <col min="6004" max="6004" width="12.42578125" style="211" customWidth="1"/>
    <col min="6005" max="6006" width="9.140625" style="211"/>
    <col min="6007" max="6007" width="10.5703125" style="211" customWidth="1"/>
    <col min="6008" max="6008" width="9.140625" style="211"/>
    <col min="6009" max="6009" width="4" style="211" customWidth="1"/>
    <col min="6010" max="6010" width="12.42578125" style="211" customWidth="1"/>
    <col min="6011" max="6012" width="9.140625" style="211"/>
    <col min="6013" max="6013" width="10.5703125" style="211" customWidth="1"/>
    <col min="6014" max="6014" width="9.140625" style="211"/>
    <col min="6015" max="6015" width="4" style="211" customWidth="1"/>
    <col min="6016" max="6016" width="12.42578125" style="211" customWidth="1"/>
    <col min="6017" max="6018" width="9.140625" style="211"/>
    <col min="6019" max="6019" width="10.5703125" style="211" customWidth="1"/>
    <col min="6020" max="6144" width="9.140625" style="211"/>
    <col min="6145" max="6145" width="2.7109375" style="211" customWidth="1"/>
    <col min="6146" max="6146" width="9.140625" style="211"/>
    <col min="6147" max="6147" width="9.42578125" style="211" customWidth="1"/>
    <col min="6148" max="6148" width="0" style="211" hidden="1" customWidth="1"/>
    <col min="6149" max="6149" width="9.140625" style="211"/>
    <col min="6150" max="6150" width="2.42578125" style="211" customWidth="1"/>
    <col min="6151" max="6151" width="9.140625" style="211"/>
    <col min="6152" max="6152" width="9.42578125" style="211" customWidth="1"/>
    <col min="6153" max="6153" width="0" style="211" hidden="1" customWidth="1"/>
    <col min="6154" max="6154" width="9.140625" style="211"/>
    <col min="6155" max="6155" width="2.28515625" style="211" customWidth="1"/>
    <col min="6156" max="6156" width="9.140625" style="211"/>
    <col min="6157" max="6157" width="9.42578125" style="211" customWidth="1"/>
    <col min="6158" max="6158" width="0" style="211" hidden="1" customWidth="1"/>
    <col min="6159" max="6159" width="9.140625" style="211"/>
    <col min="6160" max="6160" width="2.5703125" style="211" customWidth="1"/>
    <col min="6161" max="6161" width="9.140625" style="211"/>
    <col min="6162" max="6162" width="9.5703125" style="211" customWidth="1"/>
    <col min="6163" max="6163" width="0" style="211" hidden="1" customWidth="1"/>
    <col min="6164" max="6164" width="9.140625" style="211"/>
    <col min="6165" max="6165" width="2.7109375" style="211" customWidth="1"/>
    <col min="6166" max="6167" width="9.140625" style="211"/>
    <col min="6168" max="6168" width="3.140625" style="211" customWidth="1"/>
    <col min="6169" max="6169" width="4" style="211" customWidth="1"/>
    <col min="6170" max="6170" width="9.42578125" style="211" customWidth="1"/>
    <col min="6171" max="6172" width="9.140625" style="211"/>
    <col min="6173" max="6173" width="10.5703125" style="211" customWidth="1"/>
    <col min="6174" max="6174" width="9.140625" style="211"/>
    <col min="6175" max="6175" width="4" style="211" customWidth="1"/>
    <col min="6176" max="6176" width="9.42578125" style="211" customWidth="1"/>
    <col min="6177" max="6178" width="9.140625" style="211"/>
    <col min="6179" max="6179" width="10.5703125" style="211" customWidth="1"/>
    <col min="6180" max="6180" width="9.140625" style="211"/>
    <col min="6181" max="6181" width="4" style="211" customWidth="1"/>
    <col min="6182" max="6182" width="9.42578125" style="211" customWidth="1"/>
    <col min="6183" max="6184" width="9.140625" style="211"/>
    <col min="6185" max="6185" width="10.5703125" style="211" customWidth="1"/>
    <col min="6186" max="6186" width="9.140625" style="211"/>
    <col min="6187" max="6187" width="4" style="211" customWidth="1"/>
    <col min="6188" max="6188" width="9.42578125" style="211" customWidth="1"/>
    <col min="6189" max="6190" width="9.140625" style="211"/>
    <col min="6191" max="6191" width="10.5703125" style="211" customWidth="1"/>
    <col min="6192" max="6192" width="9.140625" style="211"/>
    <col min="6193" max="6193" width="4" style="211" customWidth="1"/>
    <col min="6194" max="6194" width="9.42578125" style="211" customWidth="1"/>
    <col min="6195" max="6196" width="9.140625" style="211"/>
    <col min="6197" max="6197" width="10.5703125" style="211" customWidth="1"/>
    <col min="6198" max="6198" width="9.140625" style="211"/>
    <col min="6199" max="6199" width="4" style="211" customWidth="1"/>
    <col min="6200" max="6200" width="9.42578125" style="211" customWidth="1"/>
    <col min="6201" max="6202" width="9.140625" style="211"/>
    <col min="6203" max="6203" width="10.5703125" style="211" customWidth="1"/>
    <col min="6204" max="6204" width="9.140625" style="211"/>
    <col min="6205" max="6205" width="4" style="211" customWidth="1"/>
    <col min="6206" max="6206" width="9.42578125" style="211" customWidth="1"/>
    <col min="6207" max="6208" width="9.140625" style="211"/>
    <col min="6209" max="6209" width="10.5703125" style="211" customWidth="1"/>
    <col min="6210" max="6210" width="9.140625" style="211"/>
    <col min="6211" max="6211" width="4" style="211" customWidth="1"/>
    <col min="6212" max="6212" width="9.42578125" style="211" customWidth="1"/>
    <col min="6213" max="6214" width="9.140625" style="211"/>
    <col min="6215" max="6215" width="10.5703125" style="211" customWidth="1"/>
    <col min="6216" max="6216" width="9.140625" style="211"/>
    <col min="6217" max="6217" width="4" style="211" customWidth="1"/>
    <col min="6218" max="6218" width="9.42578125" style="211" customWidth="1"/>
    <col min="6219" max="6220" width="9.140625" style="211"/>
    <col min="6221" max="6221" width="10.5703125" style="211" customWidth="1"/>
    <col min="6222" max="6222" width="9.140625" style="211"/>
    <col min="6223" max="6223" width="4" style="211" customWidth="1"/>
    <col min="6224" max="6224" width="9.42578125" style="211" customWidth="1"/>
    <col min="6225" max="6226" width="9.140625" style="211"/>
    <col min="6227" max="6227" width="10.5703125" style="211" customWidth="1"/>
    <col min="6228" max="6228" width="9.140625" style="211"/>
    <col min="6229" max="6229" width="4" style="211" customWidth="1"/>
    <col min="6230" max="6230" width="9.42578125" style="211" customWidth="1"/>
    <col min="6231" max="6232" width="9.140625" style="211"/>
    <col min="6233" max="6233" width="10.5703125" style="211" customWidth="1"/>
    <col min="6234" max="6234" width="9.140625" style="211"/>
    <col min="6235" max="6235" width="4" style="211" customWidth="1"/>
    <col min="6236" max="6236" width="9.42578125" style="211" customWidth="1"/>
    <col min="6237" max="6238" width="9.140625" style="211"/>
    <col min="6239" max="6239" width="10.5703125" style="211" customWidth="1"/>
    <col min="6240" max="6240" width="9.140625" style="211"/>
    <col min="6241" max="6241" width="4" style="211" customWidth="1"/>
    <col min="6242" max="6242" width="9.42578125" style="211" customWidth="1"/>
    <col min="6243" max="6244" width="9.140625" style="211"/>
    <col min="6245" max="6245" width="10.5703125" style="211" customWidth="1"/>
    <col min="6246" max="6246" width="9.140625" style="211"/>
    <col min="6247" max="6247" width="4" style="211" customWidth="1"/>
    <col min="6248" max="6248" width="12.42578125" style="211" customWidth="1"/>
    <col min="6249" max="6250" width="9.140625" style="211"/>
    <col min="6251" max="6251" width="10.5703125" style="211" customWidth="1"/>
    <col min="6252" max="6252" width="9.140625" style="211"/>
    <col min="6253" max="6253" width="4" style="211" customWidth="1"/>
    <col min="6254" max="6254" width="12.42578125" style="211" customWidth="1"/>
    <col min="6255" max="6256" width="9.140625" style="211"/>
    <col min="6257" max="6257" width="10.5703125" style="211" customWidth="1"/>
    <col min="6258" max="6258" width="9.140625" style="211"/>
    <col min="6259" max="6259" width="4" style="211" customWidth="1"/>
    <col min="6260" max="6260" width="12.42578125" style="211" customWidth="1"/>
    <col min="6261" max="6262" width="9.140625" style="211"/>
    <col min="6263" max="6263" width="10.5703125" style="211" customWidth="1"/>
    <col min="6264" max="6264" width="9.140625" style="211"/>
    <col min="6265" max="6265" width="4" style="211" customWidth="1"/>
    <col min="6266" max="6266" width="12.42578125" style="211" customWidth="1"/>
    <col min="6267" max="6268" width="9.140625" style="211"/>
    <col min="6269" max="6269" width="10.5703125" style="211" customWidth="1"/>
    <col min="6270" max="6270" width="9.140625" style="211"/>
    <col min="6271" max="6271" width="4" style="211" customWidth="1"/>
    <col min="6272" max="6272" width="12.42578125" style="211" customWidth="1"/>
    <col min="6273" max="6274" width="9.140625" style="211"/>
    <col min="6275" max="6275" width="10.5703125" style="211" customWidth="1"/>
    <col min="6276" max="6400" width="9.140625" style="211"/>
    <col min="6401" max="6401" width="2.7109375" style="211" customWidth="1"/>
    <col min="6402" max="6402" width="9.140625" style="211"/>
    <col min="6403" max="6403" width="9.42578125" style="211" customWidth="1"/>
    <col min="6404" max="6404" width="0" style="211" hidden="1" customWidth="1"/>
    <col min="6405" max="6405" width="9.140625" style="211"/>
    <col min="6406" max="6406" width="2.42578125" style="211" customWidth="1"/>
    <col min="6407" max="6407" width="9.140625" style="211"/>
    <col min="6408" max="6408" width="9.42578125" style="211" customWidth="1"/>
    <col min="6409" max="6409" width="0" style="211" hidden="1" customWidth="1"/>
    <col min="6410" max="6410" width="9.140625" style="211"/>
    <col min="6411" max="6411" width="2.28515625" style="211" customWidth="1"/>
    <col min="6412" max="6412" width="9.140625" style="211"/>
    <col min="6413" max="6413" width="9.42578125" style="211" customWidth="1"/>
    <col min="6414" max="6414" width="0" style="211" hidden="1" customWidth="1"/>
    <col min="6415" max="6415" width="9.140625" style="211"/>
    <col min="6416" max="6416" width="2.5703125" style="211" customWidth="1"/>
    <col min="6417" max="6417" width="9.140625" style="211"/>
    <col min="6418" max="6418" width="9.5703125" style="211" customWidth="1"/>
    <col min="6419" max="6419" width="0" style="211" hidden="1" customWidth="1"/>
    <col min="6420" max="6420" width="9.140625" style="211"/>
    <col min="6421" max="6421" width="2.7109375" style="211" customWidth="1"/>
    <col min="6422" max="6423" width="9.140625" style="211"/>
    <col min="6424" max="6424" width="3.140625" style="211" customWidth="1"/>
    <col min="6425" max="6425" width="4" style="211" customWidth="1"/>
    <col min="6426" max="6426" width="9.42578125" style="211" customWidth="1"/>
    <col min="6427" max="6428" width="9.140625" style="211"/>
    <col min="6429" max="6429" width="10.5703125" style="211" customWidth="1"/>
    <col min="6430" max="6430" width="9.140625" style="211"/>
    <col min="6431" max="6431" width="4" style="211" customWidth="1"/>
    <col min="6432" max="6432" width="9.42578125" style="211" customWidth="1"/>
    <col min="6433" max="6434" width="9.140625" style="211"/>
    <col min="6435" max="6435" width="10.5703125" style="211" customWidth="1"/>
    <col min="6436" max="6436" width="9.140625" style="211"/>
    <col min="6437" max="6437" width="4" style="211" customWidth="1"/>
    <col min="6438" max="6438" width="9.42578125" style="211" customWidth="1"/>
    <col min="6439" max="6440" width="9.140625" style="211"/>
    <col min="6441" max="6441" width="10.5703125" style="211" customWidth="1"/>
    <col min="6442" max="6442" width="9.140625" style="211"/>
    <col min="6443" max="6443" width="4" style="211" customWidth="1"/>
    <col min="6444" max="6444" width="9.42578125" style="211" customWidth="1"/>
    <col min="6445" max="6446" width="9.140625" style="211"/>
    <col min="6447" max="6447" width="10.5703125" style="211" customWidth="1"/>
    <col min="6448" max="6448" width="9.140625" style="211"/>
    <col min="6449" max="6449" width="4" style="211" customWidth="1"/>
    <col min="6450" max="6450" width="9.42578125" style="211" customWidth="1"/>
    <col min="6451" max="6452" width="9.140625" style="211"/>
    <col min="6453" max="6453" width="10.5703125" style="211" customWidth="1"/>
    <col min="6454" max="6454" width="9.140625" style="211"/>
    <col min="6455" max="6455" width="4" style="211" customWidth="1"/>
    <col min="6456" max="6456" width="9.42578125" style="211" customWidth="1"/>
    <col min="6457" max="6458" width="9.140625" style="211"/>
    <col min="6459" max="6459" width="10.5703125" style="211" customWidth="1"/>
    <col min="6460" max="6460" width="9.140625" style="211"/>
    <col min="6461" max="6461" width="4" style="211" customWidth="1"/>
    <col min="6462" max="6462" width="9.42578125" style="211" customWidth="1"/>
    <col min="6463" max="6464" width="9.140625" style="211"/>
    <col min="6465" max="6465" width="10.5703125" style="211" customWidth="1"/>
    <col min="6466" max="6466" width="9.140625" style="211"/>
    <col min="6467" max="6467" width="4" style="211" customWidth="1"/>
    <col min="6468" max="6468" width="9.42578125" style="211" customWidth="1"/>
    <col min="6469" max="6470" width="9.140625" style="211"/>
    <col min="6471" max="6471" width="10.5703125" style="211" customWidth="1"/>
    <col min="6472" max="6472" width="9.140625" style="211"/>
    <col min="6473" max="6473" width="4" style="211" customWidth="1"/>
    <col min="6474" max="6474" width="9.42578125" style="211" customWidth="1"/>
    <col min="6475" max="6476" width="9.140625" style="211"/>
    <col min="6477" max="6477" width="10.5703125" style="211" customWidth="1"/>
    <col min="6478" max="6478" width="9.140625" style="211"/>
    <col min="6479" max="6479" width="4" style="211" customWidth="1"/>
    <col min="6480" max="6480" width="9.42578125" style="211" customWidth="1"/>
    <col min="6481" max="6482" width="9.140625" style="211"/>
    <col min="6483" max="6483" width="10.5703125" style="211" customWidth="1"/>
    <col min="6484" max="6484" width="9.140625" style="211"/>
    <col min="6485" max="6485" width="4" style="211" customWidth="1"/>
    <col min="6486" max="6486" width="9.42578125" style="211" customWidth="1"/>
    <col min="6487" max="6488" width="9.140625" style="211"/>
    <col min="6489" max="6489" width="10.5703125" style="211" customWidth="1"/>
    <col min="6490" max="6490" width="9.140625" style="211"/>
    <col min="6491" max="6491" width="4" style="211" customWidth="1"/>
    <col min="6492" max="6492" width="9.42578125" style="211" customWidth="1"/>
    <col min="6493" max="6494" width="9.140625" style="211"/>
    <col min="6495" max="6495" width="10.5703125" style="211" customWidth="1"/>
    <col min="6496" max="6496" width="9.140625" style="211"/>
    <col min="6497" max="6497" width="4" style="211" customWidth="1"/>
    <col min="6498" max="6498" width="9.42578125" style="211" customWidth="1"/>
    <col min="6499" max="6500" width="9.140625" style="211"/>
    <col min="6501" max="6501" width="10.5703125" style="211" customWidth="1"/>
    <col min="6502" max="6502" width="9.140625" style="211"/>
    <col min="6503" max="6503" width="4" style="211" customWidth="1"/>
    <col min="6504" max="6504" width="12.42578125" style="211" customWidth="1"/>
    <col min="6505" max="6506" width="9.140625" style="211"/>
    <col min="6507" max="6507" width="10.5703125" style="211" customWidth="1"/>
    <col min="6508" max="6508" width="9.140625" style="211"/>
    <col min="6509" max="6509" width="4" style="211" customWidth="1"/>
    <col min="6510" max="6510" width="12.42578125" style="211" customWidth="1"/>
    <col min="6511" max="6512" width="9.140625" style="211"/>
    <col min="6513" max="6513" width="10.5703125" style="211" customWidth="1"/>
    <col min="6514" max="6514" width="9.140625" style="211"/>
    <col min="6515" max="6515" width="4" style="211" customWidth="1"/>
    <col min="6516" max="6516" width="12.42578125" style="211" customWidth="1"/>
    <col min="6517" max="6518" width="9.140625" style="211"/>
    <col min="6519" max="6519" width="10.5703125" style="211" customWidth="1"/>
    <col min="6520" max="6520" width="9.140625" style="211"/>
    <col min="6521" max="6521" width="4" style="211" customWidth="1"/>
    <col min="6522" max="6522" width="12.42578125" style="211" customWidth="1"/>
    <col min="6523" max="6524" width="9.140625" style="211"/>
    <col min="6525" max="6525" width="10.5703125" style="211" customWidth="1"/>
    <col min="6526" max="6526" width="9.140625" style="211"/>
    <col min="6527" max="6527" width="4" style="211" customWidth="1"/>
    <col min="6528" max="6528" width="12.42578125" style="211" customWidth="1"/>
    <col min="6529" max="6530" width="9.140625" style="211"/>
    <col min="6531" max="6531" width="10.5703125" style="211" customWidth="1"/>
    <col min="6532" max="6656" width="9.140625" style="211"/>
    <col min="6657" max="6657" width="2.7109375" style="211" customWidth="1"/>
    <col min="6658" max="6658" width="9.140625" style="211"/>
    <col min="6659" max="6659" width="9.42578125" style="211" customWidth="1"/>
    <col min="6660" max="6660" width="0" style="211" hidden="1" customWidth="1"/>
    <col min="6661" max="6661" width="9.140625" style="211"/>
    <col min="6662" max="6662" width="2.42578125" style="211" customWidth="1"/>
    <col min="6663" max="6663" width="9.140625" style="211"/>
    <col min="6664" max="6664" width="9.42578125" style="211" customWidth="1"/>
    <col min="6665" max="6665" width="0" style="211" hidden="1" customWidth="1"/>
    <col min="6666" max="6666" width="9.140625" style="211"/>
    <col min="6667" max="6667" width="2.28515625" style="211" customWidth="1"/>
    <col min="6668" max="6668" width="9.140625" style="211"/>
    <col min="6669" max="6669" width="9.42578125" style="211" customWidth="1"/>
    <col min="6670" max="6670" width="0" style="211" hidden="1" customWidth="1"/>
    <col min="6671" max="6671" width="9.140625" style="211"/>
    <col min="6672" max="6672" width="2.5703125" style="211" customWidth="1"/>
    <col min="6673" max="6673" width="9.140625" style="211"/>
    <col min="6674" max="6674" width="9.5703125" style="211" customWidth="1"/>
    <col min="6675" max="6675" width="0" style="211" hidden="1" customWidth="1"/>
    <col min="6676" max="6676" width="9.140625" style="211"/>
    <col min="6677" max="6677" width="2.7109375" style="211" customWidth="1"/>
    <col min="6678" max="6679" width="9.140625" style="211"/>
    <col min="6680" max="6680" width="3.140625" style="211" customWidth="1"/>
    <col min="6681" max="6681" width="4" style="211" customWidth="1"/>
    <col min="6682" max="6682" width="9.42578125" style="211" customWidth="1"/>
    <col min="6683" max="6684" width="9.140625" style="211"/>
    <col min="6685" max="6685" width="10.5703125" style="211" customWidth="1"/>
    <col min="6686" max="6686" width="9.140625" style="211"/>
    <col min="6687" max="6687" width="4" style="211" customWidth="1"/>
    <col min="6688" max="6688" width="9.42578125" style="211" customWidth="1"/>
    <col min="6689" max="6690" width="9.140625" style="211"/>
    <col min="6691" max="6691" width="10.5703125" style="211" customWidth="1"/>
    <col min="6692" max="6692" width="9.140625" style="211"/>
    <col min="6693" max="6693" width="4" style="211" customWidth="1"/>
    <col min="6694" max="6694" width="9.42578125" style="211" customWidth="1"/>
    <col min="6695" max="6696" width="9.140625" style="211"/>
    <col min="6697" max="6697" width="10.5703125" style="211" customWidth="1"/>
    <col min="6698" max="6698" width="9.140625" style="211"/>
    <col min="6699" max="6699" width="4" style="211" customWidth="1"/>
    <col min="6700" max="6700" width="9.42578125" style="211" customWidth="1"/>
    <col min="6701" max="6702" width="9.140625" style="211"/>
    <col min="6703" max="6703" width="10.5703125" style="211" customWidth="1"/>
    <col min="6704" max="6704" width="9.140625" style="211"/>
    <col min="6705" max="6705" width="4" style="211" customWidth="1"/>
    <col min="6706" max="6706" width="9.42578125" style="211" customWidth="1"/>
    <col min="6707" max="6708" width="9.140625" style="211"/>
    <col min="6709" max="6709" width="10.5703125" style="211" customWidth="1"/>
    <col min="6710" max="6710" width="9.140625" style="211"/>
    <col min="6711" max="6711" width="4" style="211" customWidth="1"/>
    <col min="6712" max="6712" width="9.42578125" style="211" customWidth="1"/>
    <col min="6713" max="6714" width="9.140625" style="211"/>
    <col min="6715" max="6715" width="10.5703125" style="211" customWidth="1"/>
    <col min="6716" max="6716" width="9.140625" style="211"/>
    <col min="6717" max="6717" width="4" style="211" customWidth="1"/>
    <col min="6718" max="6718" width="9.42578125" style="211" customWidth="1"/>
    <col min="6719" max="6720" width="9.140625" style="211"/>
    <col min="6721" max="6721" width="10.5703125" style="211" customWidth="1"/>
    <col min="6722" max="6722" width="9.140625" style="211"/>
    <col min="6723" max="6723" width="4" style="211" customWidth="1"/>
    <col min="6724" max="6724" width="9.42578125" style="211" customWidth="1"/>
    <col min="6725" max="6726" width="9.140625" style="211"/>
    <col min="6727" max="6727" width="10.5703125" style="211" customWidth="1"/>
    <col min="6728" max="6728" width="9.140625" style="211"/>
    <col min="6729" max="6729" width="4" style="211" customWidth="1"/>
    <col min="6730" max="6730" width="9.42578125" style="211" customWidth="1"/>
    <col min="6731" max="6732" width="9.140625" style="211"/>
    <col min="6733" max="6733" width="10.5703125" style="211" customWidth="1"/>
    <col min="6734" max="6734" width="9.140625" style="211"/>
    <col min="6735" max="6735" width="4" style="211" customWidth="1"/>
    <col min="6736" max="6736" width="9.42578125" style="211" customWidth="1"/>
    <col min="6737" max="6738" width="9.140625" style="211"/>
    <col min="6739" max="6739" width="10.5703125" style="211" customWidth="1"/>
    <col min="6740" max="6740" width="9.140625" style="211"/>
    <col min="6741" max="6741" width="4" style="211" customWidth="1"/>
    <col min="6742" max="6742" width="9.42578125" style="211" customWidth="1"/>
    <col min="6743" max="6744" width="9.140625" style="211"/>
    <col min="6745" max="6745" width="10.5703125" style="211" customWidth="1"/>
    <col min="6746" max="6746" width="9.140625" style="211"/>
    <col min="6747" max="6747" width="4" style="211" customWidth="1"/>
    <col min="6748" max="6748" width="9.42578125" style="211" customWidth="1"/>
    <col min="6749" max="6750" width="9.140625" style="211"/>
    <col min="6751" max="6751" width="10.5703125" style="211" customWidth="1"/>
    <col min="6752" max="6752" width="9.140625" style="211"/>
    <col min="6753" max="6753" width="4" style="211" customWidth="1"/>
    <col min="6754" max="6754" width="9.42578125" style="211" customWidth="1"/>
    <col min="6755" max="6756" width="9.140625" style="211"/>
    <col min="6757" max="6757" width="10.5703125" style="211" customWidth="1"/>
    <col min="6758" max="6758" width="9.140625" style="211"/>
    <col min="6759" max="6759" width="4" style="211" customWidth="1"/>
    <col min="6760" max="6760" width="12.42578125" style="211" customWidth="1"/>
    <col min="6761" max="6762" width="9.140625" style="211"/>
    <col min="6763" max="6763" width="10.5703125" style="211" customWidth="1"/>
    <col min="6764" max="6764" width="9.140625" style="211"/>
    <col min="6765" max="6765" width="4" style="211" customWidth="1"/>
    <col min="6766" max="6766" width="12.42578125" style="211" customWidth="1"/>
    <col min="6767" max="6768" width="9.140625" style="211"/>
    <col min="6769" max="6769" width="10.5703125" style="211" customWidth="1"/>
    <col min="6770" max="6770" width="9.140625" style="211"/>
    <col min="6771" max="6771" width="4" style="211" customWidth="1"/>
    <col min="6772" max="6772" width="12.42578125" style="211" customWidth="1"/>
    <col min="6773" max="6774" width="9.140625" style="211"/>
    <col min="6775" max="6775" width="10.5703125" style="211" customWidth="1"/>
    <col min="6776" max="6776" width="9.140625" style="211"/>
    <col min="6777" max="6777" width="4" style="211" customWidth="1"/>
    <col min="6778" max="6778" width="12.42578125" style="211" customWidth="1"/>
    <col min="6779" max="6780" width="9.140625" style="211"/>
    <col min="6781" max="6781" width="10.5703125" style="211" customWidth="1"/>
    <col min="6782" max="6782" width="9.140625" style="211"/>
    <col min="6783" max="6783" width="4" style="211" customWidth="1"/>
    <col min="6784" max="6784" width="12.42578125" style="211" customWidth="1"/>
    <col min="6785" max="6786" width="9.140625" style="211"/>
    <col min="6787" max="6787" width="10.5703125" style="211" customWidth="1"/>
    <col min="6788" max="6912" width="9.140625" style="211"/>
    <col min="6913" max="6913" width="2.7109375" style="211" customWidth="1"/>
    <col min="6914" max="6914" width="9.140625" style="211"/>
    <col min="6915" max="6915" width="9.42578125" style="211" customWidth="1"/>
    <col min="6916" max="6916" width="0" style="211" hidden="1" customWidth="1"/>
    <col min="6917" max="6917" width="9.140625" style="211"/>
    <col min="6918" max="6918" width="2.42578125" style="211" customWidth="1"/>
    <col min="6919" max="6919" width="9.140625" style="211"/>
    <col min="6920" max="6920" width="9.42578125" style="211" customWidth="1"/>
    <col min="6921" max="6921" width="0" style="211" hidden="1" customWidth="1"/>
    <col min="6922" max="6922" width="9.140625" style="211"/>
    <col min="6923" max="6923" width="2.28515625" style="211" customWidth="1"/>
    <col min="6924" max="6924" width="9.140625" style="211"/>
    <col min="6925" max="6925" width="9.42578125" style="211" customWidth="1"/>
    <col min="6926" max="6926" width="0" style="211" hidden="1" customWidth="1"/>
    <col min="6927" max="6927" width="9.140625" style="211"/>
    <col min="6928" max="6928" width="2.5703125" style="211" customWidth="1"/>
    <col min="6929" max="6929" width="9.140625" style="211"/>
    <col min="6930" max="6930" width="9.5703125" style="211" customWidth="1"/>
    <col min="6931" max="6931" width="0" style="211" hidden="1" customWidth="1"/>
    <col min="6932" max="6932" width="9.140625" style="211"/>
    <col min="6933" max="6933" width="2.7109375" style="211" customWidth="1"/>
    <col min="6934" max="6935" width="9.140625" style="211"/>
    <col min="6936" max="6936" width="3.140625" style="211" customWidth="1"/>
    <col min="6937" max="6937" width="4" style="211" customWidth="1"/>
    <col min="6938" max="6938" width="9.42578125" style="211" customWidth="1"/>
    <col min="6939" max="6940" width="9.140625" style="211"/>
    <col min="6941" max="6941" width="10.5703125" style="211" customWidth="1"/>
    <col min="6942" max="6942" width="9.140625" style="211"/>
    <col min="6943" max="6943" width="4" style="211" customWidth="1"/>
    <col min="6944" max="6944" width="9.42578125" style="211" customWidth="1"/>
    <col min="6945" max="6946" width="9.140625" style="211"/>
    <col min="6947" max="6947" width="10.5703125" style="211" customWidth="1"/>
    <col min="6948" max="6948" width="9.140625" style="211"/>
    <col min="6949" max="6949" width="4" style="211" customWidth="1"/>
    <col min="6950" max="6950" width="9.42578125" style="211" customWidth="1"/>
    <col min="6951" max="6952" width="9.140625" style="211"/>
    <col min="6953" max="6953" width="10.5703125" style="211" customWidth="1"/>
    <col min="6954" max="6954" width="9.140625" style="211"/>
    <col min="6955" max="6955" width="4" style="211" customWidth="1"/>
    <col min="6956" max="6956" width="9.42578125" style="211" customWidth="1"/>
    <col min="6957" max="6958" width="9.140625" style="211"/>
    <col min="6959" max="6959" width="10.5703125" style="211" customWidth="1"/>
    <col min="6960" max="6960" width="9.140625" style="211"/>
    <col min="6961" max="6961" width="4" style="211" customWidth="1"/>
    <col min="6962" max="6962" width="9.42578125" style="211" customWidth="1"/>
    <col min="6963" max="6964" width="9.140625" style="211"/>
    <col min="6965" max="6965" width="10.5703125" style="211" customWidth="1"/>
    <col min="6966" max="6966" width="9.140625" style="211"/>
    <col min="6967" max="6967" width="4" style="211" customWidth="1"/>
    <col min="6968" max="6968" width="9.42578125" style="211" customWidth="1"/>
    <col min="6969" max="6970" width="9.140625" style="211"/>
    <col min="6971" max="6971" width="10.5703125" style="211" customWidth="1"/>
    <col min="6972" max="6972" width="9.140625" style="211"/>
    <col min="6973" max="6973" width="4" style="211" customWidth="1"/>
    <col min="6974" max="6974" width="9.42578125" style="211" customWidth="1"/>
    <col min="6975" max="6976" width="9.140625" style="211"/>
    <col min="6977" max="6977" width="10.5703125" style="211" customWidth="1"/>
    <col min="6978" max="6978" width="9.140625" style="211"/>
    <col min="6979" max="6979" width="4" style="211" customWidth="1"/>
    <col min="6980" max="6980" width="9.42578125" style="211" customWidth="1"/>
    <col min="6981" max="6982" width="9.140625" style="211"/>
    <col min="6983" max="6983" width="10.5703125" style="211" customWidth="1"/>
    <col min="6984" max="6984" width="9.140625" style="211"/>
    <col min="6985" max="6985" width="4" style="211" customWidth="1"/>
    <col min="6986" max="6986" width="9.42578125" style="211" customWidth="1"/>
    <col min="6987" max="6988" width="9.140625" style="211"/>
    <col min="6989" max="6989" width="10.5703125" style="211" customWidth="1"/>
    <col min="6990" max="6990" width="9.140625" style="211"/>
    <col min="6991" max="6991" width="4" style="211" customWidth="1"/>
    <col min="6992" max="6992" width="9.42578125" style="211" customWidth="1"/>
    <col min="6993" max="6994" width="9.140625" style="211"/>
    <col min="6995" max="6995" width="10.5703125" style="211" customWidth="1"/>
    <col min="6996" max="6996" width="9.140625" style="211"/>
    <col min="6997" max="6997" width="4" style="211" customWidth="1"/>
    <col min="6998" max="6998" width="9.42578125" style="211" customWidth="1"/>
    <col min="6999" max="7000" width="9.140625" style="211"/>
    <col min="7001" max="7001" width="10.5703125" style="211" customWidth="1"/>
    <col min="7002" max="7002" width="9.140625" style="211"/>
    <col min="7003" max="7003" width="4" style="211" customWidth="1"/>
    <col min="7004" max="7004" width="9.42578125" style="211" customWidth="1"/>
    <col min="7005" max="7006" width="9.140625" style="211"/>
    <col min="7007" max="7007" width="10.5703125" style="211" customWidth="1"/>
    <col min="7008" max="7008" width="9.140625" style="211"/>
    <col min="7009" max="7009" width="4" style="211" customWidth="1"/>
    <col min="7010" max="7010" width="9.42578125" style="211" customWidth="1"/>
    <col min="7011" max="7012" width="9.140625" style="211"/>
    <col min="7013" max="7013" width="10.5703125" style="211" customWidth="1"/>
    <col min="7014" max="7014" width="9.140625" style="211"/>
    <col min="7015" max="7015" width="4" style="211" customWidth="1"/>
    <col min="7016" max="7016" width="12.42578125" style="211" customWidth="1"/>
    <col min="7017" max="7018" width="9.140625" style="211"/>
    <col min="7019" max="7019" width="10.5703125" style="211" customWidth="1"/>
    <col min="7020" max="7020" width="9.140625" style="211"/>
    <col min="7021" max="7021" width="4" style="211" customWidth="1"/>
    <col min="7022" max="7022" width="12.42578125" style="211" customWidth="1"/>
    <col min="7023" max="7024" width="9.140625" style="211"/>
    <col min="7025" max="7025" width="10.5703125" style="211" customWidth="1"/>
    <col min="7026" max="7026" width="9.140625" style="211"/>
    <col min="7027" max="7027" width="4" style="211" customWidth="1"/>
    <col min="7028" max="7028" width="12.42578125" style="211" customWidth="1"/>
    <col min="7029" max="7030" width="9.140625" style="211"/>
    <col min="7031" max="7031" width="10.5703125" style="211" customWidth="1"/>
    <col min="7032" max="7032" width="9.140625" style="211"/>
    <col min="7033" max="7033" width="4" style="211" customWidth="1"/>
    <col min="7034" max="7034" width="12.42578125" style="211" customWidth="1"/>
    <col min="7035" max="7036" width="9.140625" style="211"/>
    <col min="7037" max="7037" width="10.5703125" style="211" customWidth="1"/>
    <col min="7038" max="7038" width="9.140625" style="211"/>
    <col min="7039" max="7039" width="4" style="211" customWidth="1"/>
    <col min="7040" max="7040" width="12.42578125" style="211" customWidth="1"/>
    <col min="7041" max="7042" width="9.140625" style="211"/>
    <col min="7043" max="7043" width="10.5703125" style="211" customWidth="1"/>
    <col min="7044" max="7168" width="9.140625" style="211"/>
    <col min="7169" max="7169" width="2.7109375" style="211" customWidth="1"/>
    <col min="7170" max="7170" width="9.140625" style="211"/>
    <col min="7171" max="7171" width="9.42578125" style="211" customWidth="1"/>
    <col min="7172" max="7172" width="0" style="211" hidden="1" customWidth="1"/>
    <col min="7173" max="7173" width="9.140625" style="211"/>
    <col min="7174" max="7174" width="2.42578125" style="211" customWidth="1"/>
    <col min="7175" max="7175" width="9.140625" style="211"/>
    <col min="7176" max="7176" width="9.42578125" style="211" customWidth="1"/>
    <col min="7177" max="7177" width="0" style="211" hidden="1" customWidth="1"/>
    <col min="7178" max="7178" width="9.140625" style="211"/>
    <col min="7179" max="7179" width="2.28515625" style="211" customWidth="1"/>
    <col min="7180" max="7180" width="9.140625" style="211"/>
    <col min="7181" max="7181" width="9.42578125" style="211" customWidth="1"/>
    <col min="7182" max="7182" width="0" style="211" hidden="1" customWidth="1"/>
    <col min="7183" max="7183" width="9.140625" style="211"/>
    <col min="7184" max="7184" width="2.5703125" style="211" customWidth="1"/>
    <col min="7185" max="7185" width="9.140625" style="211"/>
    <col min="7186" max="7186" width="9.5703125" style="211" customWidth="1"/>
    <col min="7187" max="7187" width="0" style="211" hidden="1" customWidth="1"/>
    <col min="7188" max="7188" width="9.140625" style="211"/>
    <col min="7189" max="7189" width="2.7109375" style="211" customWidth="1"/>
    <col min="7190" max="7191" width="9.140625" style="211"/>
    <col min="7192" max="7192" width="3.140625" style="211" customWidth="1"/>
    <col min="7193" max="7193" width="4" style="211" customWidth="1"/>
    <col min="7194" max="7194" width="9.42578125" style="211" customWidth="1"/>
    <col min="7195" max="7196" width="9.140625" style="211"/>
    <col min="7197" max="7197" width="10.5703125" style="211" customWidth="1"/>
    <col min="7198" max="7198" width="9.140625" style="211"/>
    <col min="7199" max="7199" width="4" style="211" customWidth="1"/>
    <col min="7200" max="7200" width="9.42578125" style="211" customWidth="1"/>
    <col min="7201" max="7202" width="9.140625" style="211"/>
    <col min="7203" max="7203" width="10.5703125" style="211" customWidth="1"/>
    <col min="7204" max="7204" width="9.140625" style="211"/>
    <col min="7205" max="7205" width="4" style="211" customWidth="1"/>
    <col min="7206" max="7206" width="9.42578125" style="211" customWidth="1"/>
    <col min="7207" max="7208" width="9.140625" style="211"/>
    <col min="7209" max="7209" width="10.5703125" style="211" customWidth="1"/>
    <col min="7210" max="7210" width="9.140625" style="211"/>
    <col min="7211" max="7211" width="4" style="211" customWidth="1"/>
    <col min="7212" max="7212" width="9.42578125" style="211" customWidth="1"/>
    <col min="7213" max="7214" width="9.140625" style="211"/>
    <col min="7215" max="7215" width="10.5703125" style="211" customWidth="1"/>
    <col min="7216" max="7216" width="9.140625" style="211"/>
    <col min="7217" max="7217" width="4" style="211" customWidth="1"/>
    <col min="7218" max="7218" width="9.42578125" style="211" customWidth="1"/>
    <col min="7219" max="7220" width="9.140625" style="211"/>
    <col min="7221" max="7221" width="10.5703125" style="211" customWidth="1"/>
    <col min="7222" max="7222" width="9.140625" style="211"/>
    <col min="7223" max="7223" width="4" style="211" customWidth="1"/>
    <col min="7224" max="7224" width="9.42578125" style="211" customWidth="1"/>
    <col min="7225" max="7226" width="9.140625" style="211"/>
    <col min="7227" max="7227" width="10.5703125" style="211" customWidth="1"/>
    <col min="7228" max="7228" width="9.140625" style="211"/>
    <col min="7229" max="7229" width="4" style="211" customWidth="1"/>
    <col min="7230" max="7230" width="9.42578125" style="211" customWidth="1"/>
    <col min="7231" max="7232" width="9.140625" style="211"/>
    <col min="7233" max="7233" width="10.5703125" style="211" customWidth="1"/>
    <col min="7234" max="7234" width="9.140625" style="211"/>
    <col min="7235" max="7235" width="4" style="211" customWidth="1"/>
    <col min="7236" max="7236" width="9.42578125" style="211" customWidth="1"/>
    <col min="7237" max="7238" width="9.140625" style="211"/>
    <col min="7239" max="7239" width="10.5703125" style="211" customWidth="1"/>
    <col min="7240" max="7240" width="9.140625" style="211"/>
    <col min="7241" max="7241" width="4" style="211" customWidth="1"/>
    <col min="7242" max="7242" width="9.42578125" style="211" customWidth="1"/>
    <col min="7243" max="7244" width="9.140625" style="211"/>
    <col min="7245" max="7245" width="10.5703125" style="211" customWidth="1"/>
    <col min="7246" max="7246" width="9.140625" style="211"/>
    <col min="7247" max="7247" width="4" style="211" customWidth="1"/>
    <col min="7248" max="7248" width="9.42578125" style="211" customWidth="1"/>
    <col min="7249" max="7250" width="9.140625" style="211"/>
    <col min="7251" max="7251" width="10.5703125" style="211" customWidth="1"/>
    <col min="7252" max="7252" width="9.140625" style="211"/>
    <col min="7253" max="7253" width="4" style="211" customWidth="1"/>
    <col min="7254" max="7254" width="9.42578125" style="211" customWidth="1"/>
    <col min="7255" max="7256" width="9.140625" style="211"/>
    <col min="7257" max="7257" width="10.5703125" style="211" customWidth="1"/>
    <col min="7258" max="7258" width="9.140625" style="211"/>
    <col min="7259" max="7259" width="4" style="211" customWidth="1"/>
    <col min="7260" max="7260" width="9.42578125" style="211" customWidth="1"/>
    <col min="7261" max="7262" width="9.140625" style="211"/>
    <col min="7263" max="7263" width="10.5703125" style="211" customWidth="1"/>
    <col min="7264" max="7264" width="9.140625" style="211"/>
    <col min="7265" max="7265" width="4" style="211" customWidth="1"/>
    <col min="7266" max="7266" width="9.42578125" style="211" customWidth="1"/>
    <col min="7267" max="7268" width="9.140625" style="211"/>
    <col min="7269" max="7269" width="10.5703125" style="211" customWidth="1"/>
    <col min="7270" max="7270" width="9.140625" style="211"/>
    <col min="7271" max="7271" width="4" style="211" customWidth="1"/>
    <col min="7272" max="7272" width="12.42578125" style="211" customWidth="1"/>
    <col min="7273" max="7274" width="9.140625" style="211"/>
    <col min="7275" max="7275" width="10.5703125" style="211" customWidth="1"/>
    <col min="7276" max="7276" width="9.140625" style="211"/>
    <col min="7277" max="7277" width="4" style="211" customWidth="1"/>
    <col min="7278" max="7278" width="12.42578125" style="211" customWidth="1"/>
    <col min="7279" max="7280" width="9.140625" style="211"/>
    <col min="7281" max="7281" width="10.5703125" style="211" customWidth="1"/>
    <col min="7282" max="7282" width="9.140625" style="211"/>
    <col min="7283" max="7283" width="4" style="211" customWidth="1"/>
    <col min="7284" max="7284" width="12.42578125" style="211" customWidth="1"/>
    <col min="7285" max="7286" width="9.140625" style="211"/>
    <col min="7287" max="7287" width="10.5703125" style="211" customWidth="1"/>
    <col min="7288" max="7288" width="9.140625" style="211"/>
    <col min="7289" max="7289" width="4" style="211" customWidth="1"/>
    <col min="7290" max="7290" width="12.42578125" style="211" customWidth="1"/>
    <col min="7291" max="7292" width="9.140625" style="211"/>
    <col min="7293" max="7293" width="10.5703125" style="211" customWidth="1"/>
    <col min="7294" max="7294" width="9.140625" style="211"/>
    <col min="7295" max="7295" width="4" style="211" customWidth="1"/>
    <col min="7296" max="7296" width="12.42578125" style="211" customWidth="1"/>
    <col min="7297" max="7298" width="9.140625" style="211"/>
    <col min="7299" max="7299" width="10.5703125" style="211" customWidth="1"/>
    <col min="7300" max="7424" width="9.140625" style="211"/>
    <col min="7425" max="7425" width="2.7109375" style="211" customWidth="1"/>
    <col min="7426" max="7426" width="9.140625" style="211"/>
    <col min="7427" max="7427" width="9.42578125" style="211" customWidth="1"/>
    <col min="7428" max="7428" width="0" style="211" hidden="1" customWidth="1"/>
    <col min="7429" max="7429" width="9.140625" style="211"/>
    <col min="7430" max="7430" width="2.42578125" style="211" customWidth="1"/>
    <col min="7431" max="7431" width="9.140625" style="211"/>
    <col min="7432" max="7432" width="9.42578125" style="211" customWidth="1"/>
    <col min="7433" max="7433" width="0" style="211" hidden="1" customWidth="1"/>
    <col min="7434" max="7434" width="9.140625" style="211"/>
    <col min="7435" max="7435" width="2.28515625" style="211" customWidth="1"/>
    <col min="7436" max="7436" width="9.140625" style="211"/>
    <col min="7437" max="7437" width="9.42578125" style="211" customWidth="1"/>
    <col min="7438" max="7438" width="0" style="211" hidden="1" customWidth="1"/>
    <col min="7439" max="7439" width="9.140625" style="211"/>
    <col min="7440" max="7440" width="2.5703125" style="211" customWidth="1"/>
    <col min="7441" max="7441" width="9.140625" style="211"/>
    <col min="7442" max="7442" width="9.5703125" style="211" customWidth="1"/>
    <col min="7443" max="7443" width="0" style="211" hidden="1" customWidth="1"/>
    <col min="7444" max="7444" width="9.140625" style="211"/>
    <col min="7445" max="7445" width="2.7109375" style="211" customWidth="1"/>
    <col min="7446" max="7447" width="9.140625" style="211"/>
    <col min="7448" max="7448" width="3.140625" style="211" customWidth="1"/>
    <col min="7449" max="7449" width="4" style="211" customWidth="1"/>
    <col min="7450" max="7450" width="9.42578125" style="211" customWidth="1"/>
    <col min="7451" max="7452" width="9.140625" style="211"/>
    <col min="7453" max="7453" width="10.5703125" style="211" customWidth="1"/>
    <col min="7454" max="7454" width="9.140625" style="211"/>
    <col min="7455" max="7455" width="4" style="211" customWidth="1"/>
    <col min="7456" max="7456" width="9.42578125" style="211" customWidth="1"/>
    <col min="7457" max="7458" width="9.140625" style="211"/>
    <col min="7459" max="7459" width="10.5703125" style="211" customWidth="1"/>
    <col min="7460" max="7460" width="9.140625" style="211"/>
    <col min="7461" max="7461" width="4" style="211" customWidth="1"/>
    <col min="7462" max="7462" width="9.42578125" style="211" customWidth="1"/>
    <col min="7463" max="7464" width="9.140625" style="211"/>
    <col min="7465" max="7465" width="10.5703125" style="211" customWidth="1"/>
    <col min="7466" max="7466" width="9.140625" style="211"/>
    <col min="7467" max="7467" width="4" style="211" customWidth="1"/>
    <col min="7468" max="7468" width="9.42578125" style="211" customWidth="1"/>
    <col min="7469" max="7470" width="9.140625" style="211"/>
    <col min="7471" max="7471" width="10.5703125" style="211" customWidth="1"/>
    <col min="7472" max="7472" width="9.140625" style="211"/>
    <col min="7473" max="7473" width="4" style="211" customWidth="1"/>
    <col min="7474" max="7474" width="9.42578125" style="211" customWidth="1"/>
    <col min="7475" max="7476" width="9.140625" style="211"/>
    <col min="7477" max="7477" width="10.5703125" style="211" customWidth="1"/>
    <col min="7478" max="7478" width="9.140625" style="211"/>
    <col min="7479" max="7479" width="4" style="211" customWidth="1"/>
    <col min="7480" max="7480" width="9.42578125" style="211" customWidth="1"/>
    <col min="7481" max="7482" width="9.140625" style="211"/>
    <col min="7483" max="7483" width="10.5703125" style="211" customWidth="1"/>
    <col min="7484" max="7484" width="9.140625" style="211"/>
    <col min="7485" max="7485" width="4" style="211" customWidth="1"/>
    <col min="7486" max="7486" width="9.42578125" style="211" customWidth="1"/>
    <col min="7487" max="7488" width="9.140625" style="211"/>
    <col min="7489" max="7489" width="10.5703125" style="211" customWidth="1"/>
    <col min="7490" max="7490" width="9.140625" style="211"/>
    <col min="7491" max="7491" width="4" style="211" customWidth="1"/>
    <col min="7492" max="7492" width="9.42578125" style="211" customWidth="1"/>
    <col min="7493" max="7494" width="9.140625" style="211"/>
    <col min="7495" max="7495" width="10.5703125" style="211" customWidth="1"/>
    <col min="7496" max="7496" width="9.140625" style="211"/>
    <col min="7497" max="7497" width="4" style="211" customWidth="1"/>
    <col min="7498" max="7498" width="9.42578125" style="211" customWidth="1"/>
    <col min="7499" max="7500" width="9.140625" style="211"/>
    <col min="7501" max="7501" width="10.5703125" style="211" customWidth="1"/>
    <col min="7502" max="7502" width="9.140625" style="211"/>
    <col min="7503" max="7503" width="4" style="211" customWidth="1"/>
    <col min="7504" max="7504" width="9.42578125" style="211" customWidth="1"/>
    <col min="7505" max="7506" width="9.140625" style="211"/>
    <col min="7507" max="7507" width="10.5703125" style="211" customWidth="1"/>
    <col min="7508" max="7508" width="9.140625" style="211"/>
    <col min="7509" max="7509" width="4" style="211" customWidth="1"/>
    <col min="7510" max="7510" width="9.42578125" style="211" customWidth="1"/>
    <col min="7511" max="7512" width="9.140625" style="211"/>
    <col min="7513" max="7513" width="10.5703125" style="211" customWidth="1"/>
    <col min="7514" max="7514" width="9.140625" style="211"/>
    <col min="7515" max="7515" width="4" style="211" customWidth="1"/>
    <col min="7516" max="7516" width="9.42578125" style="211" customWidth="1"/>
    <col min="7517" max="7518" width="9.140625" style="211"/>
    <col min="7519" max="7519" width="10.5703125" style="211" customWidth="1"/>
    <col min="7520" max="7520" width="9.140625" style="211"/>
    <col min="7521" max="7521" width="4" style="211" customWidth="1"/>
    <col min="7522" max="7522" width="9.42578125" style="211" customWidth="1"/>
    <col min="7523" max="7524" width="9.140625" style="211"/>
    <col min="7525" max="7525" width="10.5703125" style="211" customWidth="1"/>
    <col min="7526" max="7526" width="9.140625" style="211"/>
    <col min="7527" max="7527" width="4" style="211" customWidth="1"/>
    <col min="7528" max="7528" width="12.42578125" style="211" customWidth="1"/>
    <col min="7529" max="7530" width="9.140625" style="211"/>
    <col min="7531" max="7531" width="10.5703125" style="211" customWidth="1"/>
    <col min="7532" max="7532" width="9.140625" style="211"/>
    <col min="7533" max="7533" width="4" style="211" customWidth="1"/>
    <col min="7534" max="7534" width="12.42578125" style="211" customWidth="1"/>
    <col min="7535" max="7536" width="9.140625" style="211"/>
    <col min="7537" max="7537" width="10.5703125" style="211" customWidth="1"/>
    <col min="7538" max="7538" width="9.140625" style="211"/>
    <col min="7539" max="7539" width="4" style="211" customWidth="1"/>
    <col min="7540" max="7540" width="12.42578125" style="211" customWidth="1"/>
    <col min="7541" max="7542" width="9.140625" style="211"/>
    <col min="7543" max="7543" width="10.5703125" style="211" customWidth="1"/>
    <col min="7544" max="7544" width="9.140625" style="211"/>
    <col min="7545" max="7545" width="4" style="211" customWidth="1"/>
    <col min="7546" max="7546" width="12.42578125" style="211" customWidth="1"/>
    <col min="7547" max="7548" width="9.140625" style="211"/>
    <col min="7549" max="7549" width="10.5703125" style="211" customWidth="1"/>
    <col min="7550" max="7550" width="9.140625" style="211"/>
    <col min="7551" max="7551" width="4" style="211" customWidth="1"/>
    <col min="7552" max="7552" width="12.42578125" style="211" customWidth="1"/>
    <col min="7553" max="7554" width="9.140625" style="211"/>
    <col min="7555" max="7555" width="10.5703125" style="211" customWidth="1"/>
    <col min="7556" max="7680" width="9.140625" style="211"/>
    <col min="7681" max="7681" width="2.7109375" style="211" customWidth="1"/>
    <col min="7682" max="7682" width="9.140625" style="211"/>
    <col min="7683" max="7683" width="9.42578125" style="211" customWidth="1"/>
    <col min="7684" max="7684" width="0" style="211" hidden="1" customWidth="1"/>
    <col min="7685" max="7685" width="9.140625" style="211"/>
    <col min="7686" max="7686" width="2.42578125" style="211" customWidth="1"/>
    <col min="7687" max="7687" width="9.140625" style="211"/>
    <col min="7688" max="7688" width="9.42578125" style="211" customWidth="1"/>
    <col min="7689" max="7689" width="0" style="211" hidden="1" customWidth="1"/>
    <col min="7690" max="7690" width="9.140625" style="211"/>
    <col min="7691" max="7691" width="2.28515625" style="211" customWidth="1"/>
    <col min="7692" max="7692" width="9.140625" style="211"/>
    <col min="7693" max="7693" width="9.42578125" style="211" customWidth="1"/>
    <col min="7694" max="7694" width="0" style="211" hidden="1" customWidth="1"/>
    <col min="7695" max="7695" width="9.140625" style="211"/>
    <col min="7696" max="7696" width="2.5703125" style="211" customWidth="1"/>
    <col min="7697" max="7697" width="9.140625" style="211"/>
    <col min="7698" max="7698" width="9.5703125" style="211" customWidth="1"/>
    <col min="7699" max="7699" width="0" style="211" hidden="1" customWidth="1"/>
    <col min="7700" max="7700" width="9.140625" style="211"/>
    <col min="7701" max="7701" width="2.7109375" style="211" customWidth="1"/>
    <col min="7702" max="7703" width="9.140625" style="211"/>
    <col min="7704" max="7704" width="3.140625" style="211" customWidth="1"/>
    <col min="7705" max="7705" width="4" style="211" customWidth="1"/>
    <col min="7706" max="7706" width="9.42578125" style="211" customWidth="1"/>
    <col min="7707" max="7708" width="9.140625" style="211"/>
    <col min="7709" max="7709" width="10.5703125" style="211" customWidth="1"/>
    <col min="7710" max="7710" width="9.140625" style="211"/>
    <col min="7711" max="7711" width="4" style="211" customWidth="1"/>
    <col min="7712" max="7712" width="9.42578125" style="211" customWidth="1"/>
    <col min="7713" max="7714" width="9.140625" style="211"/>
    <col min="7715" max="7715" width="10.5703125" style="211" customWidth="1"/>
    <col min="7716" max="7716" width="9.140625" style="211"/>
    <col min="7717" max="7717" width="4" style="211" customWidth="1"/>
    <col min="7718" max="7718" width="9.42578125" style="211" customWidth="1"/>
    <col min="7719" max="7720" width="9.140625" style="211"/>
    <col min="7721" max="7721" width="10.5703125" style="211" customWidth="1"/>
    <col min="7722" max="7722" width="9.140625" style="211"/>
    <col min="7723" max="7723" width="4" style="211" customWidth="1"/>
    <col min="7724" max="7724" width="9.42578125" style="211" customWidth="1"/>
    <col min="7725" max="7726" width="9.140625" style="211"/>
    <col min="7727" max="7727" width="10.5703125" style="211" customWidth="1"/>
    <col min="7728" max="7728" width="9.140625" style="211"/>
    <col min="7729" max="7729" width="4" style="211" customWidth="1"/>
    <col min="7730" max="7730" width="9.42578125" style="211" customWidth="1"/>
    <col min="7731" max="7732" width="9.140625" style="211"/>
    <col min="7733" max="7733" width="10.5703125" style="211" customWidth="1"/>
    <col min="7734" max="7734" width="9.140625" style="211"/>
    <col min="7735" max="7735" width="4" style="211" customWidth="1"/>
    <col min="7736" max="7736" width="9.42578125" style="211" customWidth="1"/>
    <col min="7737" max="7738" width="9.140625" style="211"/>
    <col min="7739" max="7739" width="10.5703125" style="211" customWidth="1"/>
    <col min="7740" max="7740" width="9.140625" style="211"/>
    <col min="7741" max="7741" width="4" style="211" customWidth="1"/>
    <col min="7742" max="7742" width="9.42578125" style="211" customWidth="1"/>
    <col min="7743" max="7744" width="9.140625" style="211"/>
    <col min="7745" max="7745" width="10.5703125" style="211" customWidth="1"/>
    <col min="7746" max="7746" width="9.140625" style="211"/>
    <col min="7747" max="7747" width="4" style="211" customWidth="1"/>
    <col min="7748" max="7748" width="9.42578125" style="211" customWidth="1"/>
    <col min="7749" max="7750" width="9.140625" style="211"/>
    <col min="7751" max="7751" width="10.5703125" style="211" customWidth="1"/>
    <col min="7752" max="7752" width="9.140625" style="211"/>
    <col min="7753" max="7753" width="4" style="211" customWidth="1"/>
    <col min="7754" max="7754" width="9.42578125" style="211" customWidth="1"/>
    <col min="7755" max="7756" width="9.140625" style="211"/>
    <col min="7757" max="7757" width="10.5703125" style="211" customWidth="1"/>
    <col min="7758" max="7758" width="9.140625" style="211"/>
    <col min="7759" max="7759" width="4" style="211" customWidth="1"/>
    <col min="7760" max="7760" width="9.42578125" style="211" customWidth="1"/>
    <col min="7761" max="7762" width="9.140625" style="211"/>
    <col min="7763" max="7763" width="10.5703125" style="211" customWidth="1"/>
    <col min="7764" max="7764" width="9.140625" style="211"/>
    <col min="7765" max="7765" width="4" style="211" customWidth="1"/>
    <col min="7766" max="7766" width="9.42578125" style="211" customWidth="1"/>
    <col min="7767" max="7768" width="9.140625" style="211"/>
    <col min="7769" max="7769" width="10.5703125" style="211" customWidth="1"/>
    <col min="7770" max="7770" width="9.140625" style="211"/>
    <col min="7771" max="7771" width="4" style="211" customWidth="1"/>
    <col min="7772" max="7772" width="9.42578125" style="211" customWidth="1"/>
    <col min="7773" max="7774" width="9.140625" style="211"/>
    <col min="7775" max="7775" width="10.5703125" style="211" customWidth="1"/>
    <col min="7776" max="7776" width="9.140625" style="211"/>
    <col min="7777" max="7777" width="4" style="211" customWidth="1"/>
    <col min="7778" max="7778" width="9.42578125" style="211" customWidth="1"/>
    <col min="7779" max="7780" width="9.140625" style="211"/>
    <col min="7781" max="7781" width="10.5703125" style="211" customWidth="1"/>
    <col min="7782" max="7782" width="9.140625" style="211"/>
    <col min="7783" max="7783" width="4" style="211" customWidth="1"/>
    <col min="7784" max="7784" width="12.42578125" style="211" customWidth="1"/>
    <col min="7785" max="7786" width="9.140625" style="211"/>
    <col min="7787" max="7787" width="10.5703125" style="211" customWidth="1"/>
    <col min="7788" max="7788" width="9.140625" style="211"/>
    <col min="7789" max="7789" width="4" style="211" customWidth="1"/>
    <col min="7790" max="7790" width="12.42578125" style="211" customWidth="1"/>
    <col min="7791" max="7792" width="9.140625" style="211"/>
    <col min="7793" max="7793" width="10.5703125" style="211" customWidth="1"/>
    <col min="7794" max="7794" width="9.140625" style="211"/>
    <col min="7795" max="7795" width="4" style="211" customWidth="1"/>
    <col min="7796" max="7796" width="12.42578125" style="211" customWidth="1"/>
    <col min="7797" max="7798" width="9.140625" style="211"/>
    <col min="7799" max="7799" width="10.5703125" style="211" customWidth="1"/>
    <col min="7800" max="7800" width="9.140625" style="211"/>
    <col min="7801" max="7801" width="4" style="211" customWidth="1"/>
    <col min="7802" max="7802" width="12.42578125" style="211" customWidth="1"/>
    <col min="7803" max="7804" width="9.140625" style="211"/>
    <col min="7805" max="7805" width="10.5703125" style="211" customWidth="1"/>
    <col min="7806" max="7806" width="9.140625" style="211"/>
    <col min="7807" max="7807" width="4" style="211" customWidth="1"/>
    <col min="7808" max="7808" width="12.42578125" style="211" customWidth="1"/>
    <col min="7809" max="7810" width="9.140625" style="211"/>
    <col min="7811" max="7811" width="10.5703125" style="211" customWidth="1"/>
    <col min="7812" max="7936" width="9.140625" style="211"/>
    <col min="7937" max="7937" width="2.7109375" style="211" customWidth="1"/>
    <col min="7938" max="7938" width="9.140625" style="211"/>
    <col min="7939" max="7939" width="9.42578125" style="211" customWidth="1"/>
    <col min="7940" max="7940" width="0" style="211" hidden="1" customWidth="1"/>
    <col min="7941" max="7941" width="9.140625" style="211"/>
    <col min="7942" max="7942" width="2.42578125" style="211" customWidth="1"/>
    <col min="7943" max="7943" width="9.140625" style="211"/>
    <col min="7944" max="7944" width="9.42578125" style="211" customWidth="1"/>
    <col min="7945" max="7945" width="0" style="211" hidden="1" customWidth="1"/>
    <col min="7946" max="7946" width="9.140625" style="211"/>
    <col min="7947" max="7947" width="2.28515625" style="211" customWidth="1"/>
    <col min="7948" max="7948" width="9.140625" style="211"/>
    <col min="7949" max="7949" width="9.42578125" style="211" customWidth="1"/>
    <col min="7950" max="7950" width="0" style="211" hidden="1" customWidth="1"/>
    <col min="7951" max="7951" width="9.140625" style="211"/>
    <col min="7952" max="7952" width="2.5703125" style="211" customWidth="1"/>
    <col min="7953" max="7953" width="9.140625" style="211"/>
    <col min="7954" max="7954" width="9.5703125" style="211" customWidth="1"/>
    <col min="7955" max="7955" width="0" style="211" hidden="1" customWidth="1"/>
    <col min="7956" max="7956" width="9.140625" style="211"/>
    <col min="7957" max="7957" width="2.7109375" style="211" customWidth="1"/>
    <col min="7958" max="7959" width="9.140625" style="211"/>
    <col min="7960" max="7960" width="3.140625" style="211" customWidth="1"/>
    <col min="7961" max="7961" width="4" style="211" customWidth="1"/>
    <col min="7962" max="7962" width="9.42578125" style="211" customWidth="1"/>
    <col min="7963" max="7964" width="9.140625" style="211"/>
    <col min="7965" max="7965" width="10.5703125" style="211" customWidth="1"/>
    <col min="7966" max="7966" width="9.140625" style="211"/>
    <col min="7967" max="7967" width="4" style="211" customWidth="1"/>
    <col min="7968" max="7968" width="9.42578125" style="211" customWidth="1"/>
    <col min="7969" max="7970" width="9.140625" style="211"/>
    <col min="7971" max="7971" width="10.5703125" style="211" customWidth="1"/>
    <col min="7972" max="7972" width="9.140625" style="211"/>
    <col min="7973" max="7973" width="4" style="211" customWidth="1"/>
    <col min="7974" max="7974" width="9.42578125" style="211" customWidth="1"/>
    <col min="7975" max="7976" width="9.140625" style="211"/>
    <col min="7977" max="7977" width="10.5703125" style="211" customWidth="1"/>
    <col min="7978" max="7978" width="9.140625" style="211"/>
    <col min="7979" max="7979" width="4" style="211" customWidth="1"/>
    <col min="7980" max="7980" width="9.42578125" style="211" customWidth="1"/>
    <col min="7981" max="7982" width="9.140625" style="211"/>
    <col min="7983" max="7983" width="10.5703125" style="211" customWidth="1"/>
    <col min="7984" max="7984" width="9.140625" style="211"/>
    <col min="7985" max="7985" width="4" style="211" customWidth="1"/>
    <col min="7986" max="7986" width="9.42578125" style="211" customWidth="1"/>
    <col min="7987" max="7988" width="9.140625" style="211"/>
    <col min="7989" max="7989" width="10.5703125" style="211" customWidth="1"/>
    <col min="7990" max="7990" width="9.140625" style="211"/>
    <col min="7991" max="7991" width="4" style="211" customWidth="1"/>
    <col min="7992" max="7992" width="9.42578125" style="211" customWidth="1"/>
    <col min="7993" max="7994" width="9.140625" style="211"/>
    <col min="7995" max="7995" width="10.5703125" style="211" customWidth="1"/>
    <col min="7996" max="7996" width="9.140625" style="211"/>
    <col min="7997" max="7997" width="4" style="211" customWidth="1"/>
    <col min="7998" max="7998" width="9.42578125" style="211" customWidth="1"/>
    <col min="7999" max="8000" width="9.140625" style="211"/>
    <col min="8001" max="8001" width="10.5703125" style="211" customWidth="1"/>
    <col min="8002" max="8002" width="9.140625" style="211"/>
    <col min="8003" max="8003" width="4" style="211" customWidth="1"/>
    <col min="8004" max="8004" width="9.42578125" style="211" customWidth="1"/>
    <col min="8005" max="8006" width="9.140625" style="211"/>
    <col min="8007" max="8007" width="10.5703125" style="211" customWidth="1"/>
    <col min="8008" max="8008" width="9.140625" style="211"/>
    <col min="8009" max="8009" width="4" style="211" customWidth="1"/>
    <col min="8010" max="8010" width="9.42578125" style="211" customWidth="1"/>
    <col min="8011" max="8012" width="9.140625" style="211"/>
    <col min="8013" max="8013" width="10.5703125" style="211" customWidth="1"/>
    <col min="8014" max="8014" width="9.140625" style="211"/>
    <col min="8015" max="8015" width="4" style="211" customWidth="1"/>
    <col min="8016" max="8016" width="9.42578125" style="211" customWidth="1"/>
    <col min="8017" max="8018" width="9.140625" style="211"/>
    <col min="8019" max="8019" width="10.5703125" style="211" customWidth="1"/>
    <col min="8020" max="8020" width="9.140625" style="211"/>
    <col min="8021" max="8021" width="4" style="211" customWidth="1"/>
    <col min="8022" max="8022" width="9.42578125" style="211" customWidth="1"/>
    <col min="8023" max="8024" width="9.140625" style="211"/>
    <col min="8025" max="8025" width="10.5703125" style="211" customWidth="1"/>
    <col min="8026" max="8026" width="9.140625" style="211"/>
    <col min="8027" max="8027" width="4" style="211" customWidth="1"/>
    <col min="8028" max="8028" width="9.42578125" style="211" customWidth="1"/>
    <col min="8029" max="8030" width="9.140625" style="211"/>
    <col min="8031" max="8031" width="10.5703125" style="211" customWidth="1"/>
    <col min="8032" max="8032" width="9.140625" style="211"/>
    <col min="8033" max="8033" width="4" style="211" customWidth="1"/>
    <col min="8034" max="8034" width="9.42578125" style="211" customWidth="1"/>
    <col min="8035" max="8036" width="9.140625" style="211"/>
    <col min="8037" max="8037" width="10.5703125" style="211" customWidth="1"/>
    <col min="8038" max="8038" width="9.140625" style="211"/>
    <col min="8039" max="8039" width="4" style="211" customWidth="1"/>
    <col min="8040" max="8040" width="12.42578125" style="211" customWidth="1"/>
    <col min="8041" max="8042" width="9.140625" style="211"/>
    <col min="8043" max="8043" width="10.5703125" style="211" customWidth="1"/>
    <col min="8044" max="8044" width="9.140625" style="211"/>
    <col min="8045" max="8045" width="4" style="211" customWidth="1"/>
    <col min="8046" max="8046" width="12.42578125" style="211" customWidth="1"/>
    <col min="8047" max="8048" width="9.140625" style="211"/>
    <col min="8049" max="8049" width="10.5703125" style="211" customWidth="1"/>
    <col min="8050" max="8050" width="9.140625" style="211"/>
    <col min="8051" max="8051" width="4" style="211" customWidth="1"/>
    <col min="8052" max="8052" width="12.42578125" style="211" customWidth="1"/>
    <col min="8053" max="8054" width="9.140625" style="211"/>
    <col min="8055" max="8055" width="10.5703125" style="211" customWidth="1"/>
    <col min="8056" max="8056" width="9.140625" style="211"/>
    <col min="8057" max="8057" width="4" style="211" customWidth="1"/>
    <col min="8058" max="8058" width="12.42578125" style="211" customWidth="1"/>
    <col min="8059" max="8060" width="9.140625" style="211"/>
    <col min="8061" max="8061" width="10.5703125" style="211" customWidth="1"/>
    <col min="8062" max="8062" width="9.140625" style="211"/>
    <col min="8063" max="8063" width="4" style="211" customWidth="1"/>
    <col min="8064" max="8064" width="12.42578125" style="211" customWidth="1"/>
    <col min="8065" max="8066" width="9.140625" style="211"/>
    <col min="8067" max="8067" width="10.5703125" style="211" customWidth="1"/>
    <col min="8068" max="8192" width="9.140625" style="211"/>
    <col min="8193" max="8193" width="2.7109375" style="211" customWidth="1"/>
    <col min="8194" max="8194" width="9.140625" style="211"/>
    <col min="8195" max="8195" width="9.42578125" style="211" customWidth="1"/>
    <col min="8196" max="8196" width="0" style="211" hidden="1" customWidth="1"/>
    <col min="8197" max="8197" width="9.140625" style="211"/>
    <col min="8198" max="8198" width="2.42578125" style="211" customWidth="1"/>
    <col min="8199" max="8199" width="9.140625" style="211"/>
    <col min="8200" max="8200" width="9.42578125" style="211" customWidth="1"/>
    <col min="8201" max="8201" width="0" style="211" hidden="1" customWidth="1"/>
    <col min="8202" max="8202" width="9.140625" style="211"/>
    <col min="8203" max="8203" width="2.28515625" style="211" customWidth="1"/>
    <col min="8204" max="8204" width="9.140625" style="211"/>
    <col min="8205" max="8205" width="9.42578125" style="211" customWidth="1"/>
    <col min="8206" max="8206" width="0" style="211" hidden="1" customWidth="1"/>
    <col min="8207" max="8207" width="9.140625" style="211"/>
    <col min="8208" max="8208" width="2.5703125" style="211" customWidth="1"/>
    <col min="8209" max="8209" width="9.140625" style="211"/>
    <col min="8210" max="8210" width="9.5703125" style="211" customWidth="1"/>
    <col min="8211" max="8211" width="0" style="211" hidden="1" customWidth="1"/>
    <col min="8212" max="8212" width="9.140625" style="211"/>
    <col min="8213" max="8213" width="2.7109375" style="211" customWidth="1"/>
    <col min="8214" max="8215" width="9.140625" style="211"/>
    <col min="8216" max="8216" width="3.140625" style="211" customWidth="1"/>
    <col min="8217" max="8217" width="4" style="211" customWidth="1"/>
    <col min="8218" max="8218" width="9.42578125" style="211" customWidth="1"/>
    <col min="8219" max="8220" width="9.140625" style="211"/>
    <col min="8221" max="8221" width="10.5703125" style="211" customWidth="1"/>
    <col min="8222" max="8222" width="9.140625" style="211"/>
    <col min="8223" max="8223" width="4" style="211" customWidth="1"/>
    <col min="8224" max="8224" width="9.42578125" style="211" customWidth="1"/>
    <col min="8225" max="8226" width="9.140625" style="211"/>
    <col min="8227" max="8227" width="10.5703125" style="211" customWidth="1"/>
    <col min="8228" max="8228" width="9.140625" style="211"/>
    <col min="8229" max="8229" width="4" style="211" customWidth="1"/>
    <col min="8230" max="8230" width="9.42578125" style="211" customWidth="1"/>
    <col min="8231" max="8232" width="9.140625" style="211"/>
    <col min="8233" max="8233" width="10.5703125" style="211" customWidth="1"/>
    <col min="8234" max="8234" width="9.140625" style="211"/>
    <col min="8235" max="8235" width="4" style="211" customWidth="1"/>
    <col min="8236" max="8236" width="9.42578125" style="211" customWidth="1"/>
    <col min="8237" max="8238" width="9.140625" style="211"/>
    <col min="8239" max="8239" width="10.5703125" style="211" customWidth="1"/>
    <col min="8240" max="8240" width="9.140625" style="211"/>
    <col min="8241" max="8241" width="4" style="211" customWidth="1"/>
    <col min="8242" max="8242" width="9.42578125" style="211" customWidth="1"/>
    <col min="8243" max="8244" width="9.140625" style="211"/>
    <col min="8245" max="8245" width="10.5703125" style="211" customWidth="1"/>
    <col min="8246" max="8246" width="9.140625" style="211"/>
    <col min="8247" max="8247" width="4" style="211" customWidth="1"/>
    <col min="8248" max="8248" width="9.42578125" style="211" customWidth="1"/>
    <col min="8249" max="8250" width="9.140625" style="211"/>
    <col min="8251" max="8251" width="10.5703125" style="211" customWidth="1"/>
    <col min="8252" max="8252" width="9.140625" style="211"/>
    <col min="8253" max="8253" width="4" style="211" customWidth="1"/>
    <col min="8254" max="8254" width="9.42578125" style="211" customWidth="1"/>
    <col min="8255" max="8256" width="9.140625" style="211"/>
    <col min="8257" max="8257" width="10.5703125" style="211" customWidth="1"/>
    <col min="8258" max="8258" width="9.140625" style="211"/>
    <col min="8259" max="8259" width="4" style="211" customWidth="1"/>
    <col min="8260" max="8260" width="9.42578125" style="211" customWidth="1"/>
    <col min="8261" max="8262" width="9.140625" style="211"/>
    <col min="8263" max="8263" width="10.5703125" style="211" customWidth="1"/>
    <col min="8264" max="8264" width="9.140625" style="211"/>
    <col min="8265" max="8265" width="4" style="211" customWidth="1"/>
    <col min="8266" max="8266" width="9.42578125" style="211" customWidth="1"/>
    <col min="8267" max="8268" width="9.140625" style="211"/>
    <col min="8269" max="8269" width="10.5703125" style="211" customWidth="1"/>
    <col min="8270" max="8270" width="9.140625" style="211"/>
    <col min="8271" max="8271" width="4" style="211" customWidth="1"/>
    <col min="8272" max="8272" width="9.42578125" style="211" customWidth="1"/>
    <col min="8273" max="8274" width="9.140625" style="211"/>
    <col min="8275" max="8275" width="10.5703125" style="211" customWidth="1"/>
    <col min="8276" max="8276" width="9.140625" style="211"/>
    <col min="8277" max="8277" width="4" style="211" customWidth="1"/>
    <col min="8278" max="8278" width="9.42578125" style="211" customWidth="1"/>
    <col min="8279" max="8280" width="9.140625" style="211"/>
    <col min="8281" max="8281" width="10.5703125" style="211" customWidth="1"/>
    <col min="8282" max="8282" width="9.140625" style="211"/>
    <col min="8283" max="8283" width="4" style="211" customWidth="1"/>
    <col min="8284" max="8284" width="9.42578125" style="211" customWidth="1"/>
    <col min="8285" max="8286" width="9.140625" style="211"/>
    <col min="8287" max="8287" width="10.5703125" style="211" customWidth="1"/>
    <col min="8288" max="8288" width="9.140625" style="211"/>
    <col min="8289" max="8289" width="4" style="211" customWidth="1"/>
    <col min="8290" max="8290" width="9.42578125" style="211" customWidth="1"/>
    <col min="8291" max="8292" width="9.140625" style="211"/>
    <col min="8293" max="8293" width="10.5703125" style="211" customWidth="1"/>
    <col min="8294" max="8294" width="9.140625" style="211"/>
    <col min="8295" max="8295" width="4" style="211" customWidth="1"/>
    <col min="8296" max="8296" width="12.42578125" style="211" customWidth="1"/>
    <col min="8297" max="8298" width="9.140625" style="211"/>
    <col min="8299" max="8299" width="10.5703125" style="211" customWidth="1"/>
    <col min="8300" max="8300" width="9.140625" style="211"/>
    <col min="8301" max="8301" width="4" style="211" customWidth="1"/>
    <col min="8302" max="8302" width="12.42578125" style="211" customWidth="1"/>
    <col min="8303" max="8304" width="9.140625" style="211"/>
    <col min="8305" max="8305" width="10.5703125" style="211" customWidth="1"/>
    <col min="8306" max="8306" width="9.140625" style="211"/>
    <col min="8307" max="8307" width="4" style="211" customWidth="1"/>
    <col min="8308" max="8308" width="12.42578125" style="211" customWidth="1"/>
    <col min="8309" max="8310" width="9.140625" style="211"/>
    <col min="8311" max="8311" width="10.5703125" style="211" customWidth="1"/>
    <col min="8312" max="8312" width="9.140625" style="211"/>
    <col min="8313" max="8313" width="4" style="211" customWidth="1"/>
    <col min="8314" max="8314" width="12.42578125" style="211" customWidth="1"/>
    <col min="8315" max="8316" width="9.140625" style="211"/>
    <col min="8317" max="8317" width="10.5703125" style="211" customWidth="1"/>
    <col min="8318" max="8318" width="9.140625" style="211"/>
    <col min="8319" max="8319" width="4" style="211" customWidth="1"/>
    <col min="8320" max="8320" width="12.42578125" style="211" customWidth="1"/>
    <col min="8321" max="8322" width="9.140625" style="211"/>
    <col min="8323" max="8323" width="10.5703125" style="211" customWidth="1"/>
    <col min="8324" max="8448" width="9.140625" style="211"/>
    <col min="8449" max="8449" width="2.7109375" style="211" customWidth="1"/>
    <col min="8450" max="8450" width="9.140625" style="211"/>
    <col min="8451" max="8451" width="9.42578125" style="211" customWidth="1"/>
    <col min="8452" max="8452" width="0" style="211" hidden="1" customWidth="1"/>
    <col min="8453" max="8453" width="9.140625" style="211"/>
    <col min="8454" max="8454" width="2.42578125" style="211" customWidth="1"/>
    <col min="8455" max="8455" width="9.140625" style="211"/>
    <col min="8456" max="8456" width="9.42578125" style="211" customWidth="1"/>
    <col min="8457" max="8457" width="0" style="211" hidden="1" customWidth="1"/>
    <col min="8458" max="8458" width="9.140625" style="211"/>
    <col min="8459" max="8459" width="2.28515625" style="211" customWidth="1"/>
    <col min="8460" max="8460" width="9.140625" style="211"/>
    <col min="8461" max="8461" width="9.42578125" style="211" customWidth="1"/>
    <col min="8462" max="8462" width="0" style="211" hidden="1" customWidth="1"/>
    <col min="8463" max="8463" width="9.140625" style="211"/>
    <col min="8464" max="8464" width="2.5703125" style="211" customWidth="1"/>
    <col min="8465" max="8465" width="9.140625" style="211"/>
    <col min="8466" max="8466" width="9.5703125" style="211" customWidth="1"/>
    <col min="8467" max="8467" width="0" style="211" hidden="1" customWidth="1"/>
    <col min="8468" max="8468" width="9.140625" style="211"/>
    <col min="8469" max="8469" width="2.7109375" style="211" customWidth="1"/>
    <col min="8470" max="8471" width="9.140625" style="211"/>
    <col min="8472" max="8472" width="3.140625" style="211" customWidth="1"/>
    <col min="8473" max="8473" width="4" style="211" customWidth="1"/>
    <col min="8474" max="8474" width="9.42578125" style="211" customWidth="1"/>
    <col min="8475" max="8476" width="9.140625" style="211"/>
    <col min="8477" max="8477" width="10.5703125" style="211" customWidth="1"/>
    <col min="8478" max="8478" width="9.140625" style="211"/>
    <col min="8479" max="8479" width="4" style="211" customWidth="1"/>
    <col min="8480" max="8480" width="9.42578125" style="211" customWidth="1"/>
    <col min="8481" max="8482" width="9.140625" style="211"/>
    <col min="8483" max="8483" width="10.5703125" style="211" customWidth="1"/>
    <col min="8484" max="8484" width="9.140625" style="211"/>
    <col min="8485" max="8485" width="4" style="211" customWidth="1"/>
    <col min="8486" max="8486" width="9.42578125" style="211" customWidth="1"/>
    <col min="8487" max="8488" width="9.140625" style="211"/>
    <col min="8489" max="8489" width="10.5703125" style="211" customWidth="1"/>
    <col min="8490" max="8490" width="9.140625" style="211"/>
    <col min="8491" max="8491" width="4" style="211" customWidth="1"/>
    <col min="8492" max="8492" width="9.42578125" style="211" customWidth="1"/>
    <col min="8493" max="8494" width="9.140625" style="211"/>
    <col min="8495" max="8495" width="10.5703125" style="211" customWidth="1"/>
    <col min="8496" max="8496" width="9.140625" style="211"/>
    <col min="8497" max="8497" width="4" style="211" customWidth="1"/>
    <col min="8498" max="8498" width="9.42578125" style="211" customWidth="1"/>
    <col min="8499" max="8500" width="9.140625" style="211"/>
    <col min="8501" max="8501" width="10.5703125" style="211" customWidth="1"/>
    <col min="8502" max="8502" width="9.140625" style="211"/>
    <col min="8503" max="8503" width="4" style="211" customWidth="1"/>
    <col min="8504" max="8504" width="9.42578125" style="211" customWidth="1"/>
    <col min="8505" max="8506" width="9.140625" style="211"/>
    <col min="8507" max="8507" width="10.5703125" style="211" customWidth="1"/>
    <col min="8508" max="8508" width="9.140625" style="211"/>
    <col min="8509" max="8509" width="4" style="211" customWidth="1"/>
    <col min="8510" max="8510" width="9.42578125" style="211" customWidth="1"/>
    <col min="8511" max="8512" width="9.140625" style="211"/>
    <col min="8513" max="8513" width="10.5703125" style="211" customWidth="1"/>
    <col min="8514" max="8514" width="9.140625" style="211"/>
    <col min="8515" max="8515" width="4" style="211" customWidth="1"/>
    <col min="8516" max="8516" width="9.42578125" style="211" customWidth="1"/>
    <col min="8517" max="8518" width="9.140625" style="211"/>
    <col min="8519" max="8519" width="10.5703125" style="211" customWidth="1"/>
    <col min="8520" max="8520" width="9.140625" style="211"/>
    <col min="8521" max="8521" width="4" style="211" customWidth="1"/>
    <col min="8522" max="8522" width="9.42578125" style="211" customWidth="1"/>
    <col min="8523" max="8524" width="9.140625" style="211"/>
    <col min="8525" max="8525" width="10.5703125" style="211" customWidth="1"/>
    <col min="8526" max="8526" width="9.140625" style="211"/>
    <col min="8527" max="8527" width="4" style="211" customWidth="1"/>
    <col min="8528" max="8528" width="9.42578125" style="211" customWidth="1"/>
    <col min="8529" max="8530" width="9.140625" style="211"/>
    <col min="8531" max="8531" width="10.5703125" style="211" customWidth="1"/>
    <col min="8532" max="8532" width="9.140625" style="211"/>
    <col min="8533" max="8533" width="4" style="211" customWidth="1"/>
    <col min="8534" max="8534" width="9.42578125" style="211" customWidth="1"/>
    <col min="8535" max="8536" width="9.140625" style="211"/>
    <col min="8537" max="8537" width="10.5703125" style="211" customWidth="1"/>
    <col min="8538" max="8538" width="9.140625" style="211"/>
    <col min="8539" max="8539" width="4" style="211" customWidth="1"/>
    <col min="8540" max="8540" width="9.42578125" style="211" customWidth="1"/>
    <col min="8541" max="8542" width="9.140625" style="211"/>
    <col min="8543" max="8543" width="10.5703125" style="211" customWidth="1"/>
    <col min="8544" max="8544" width="9.140625" style="211"/>
    <col min="8545" max="8545" width="4" style="211" customWidth="1"/>
    <col min="8546" max="8546" width="9.42578125" style="211" customWidth="1"/>
    <col min="8547" max="8548" width="9.140625" style="211"/>
    <col min="8549" max="8549" width="10.5703125" style="211" customWidth="1"/>
    <col min="8550" max="8550" width="9.140625" style="211"/>
    <col min="8551" max="8551" width="4" style="211" customWidth="1"/>
    <col min="8552" max="8552" width="12.42578125" style="211" customWidth="1"/>
    <col min="8553" max="8554" width="9.140625" style="211"/>
    <col min="8555" max="8555" width="10.5703125" style="211" customWidth="1"/>
    <col min="8556" max="8556" width="9.140625" style="211"/>
    <col min="8557" max="8557" width="4" style="211" customWidth="1"/>
    <col min="8558" max="8558" width="12.42578125" style="211" customWidth="1"/>
    <col min="8559" max="8560" width="9.140625" style="211"/>
    <col min="8561" max="8561" width="10.5703125" style="211" customWidth="1"/>
    <col min="8562" max="8562" width="9.140625" style="211"/>
    <col min="8563" max="8563" width="4" style="211" customWidth="1"/>
    <col min="8564" max="8564" width="12.42578125" style="211" customWidth="1"/>
    <col min="8565" max="8566" width="9.140625" style="211"/>
    <col min="8567" max="8567" width="10.5703125" style="211" customWidth="1"/>
    <col min="8568" max="8568" width="9.140625" style="211"/>
    <col min="8569" max="8569" width="4" style="211" customWidth="1"/>
    <col min="8570" max="8570" width="12.42578125" style="211" customWidth="1"/>
    <col min="8571" max="8572" width="9.140625" style="211"/>
    <col min="8573" max="8573" width="10.5703125" style="211" customWidth="1"/>
    <col min="8574" max="8574" width="9.140625" style="211"/>
    <col min="8575" max="8575" width="4" style="211" customWidth="1"/>
    <col min="8576" max="8576" width="12.42578125" style="211" customWidth="1"/>
    <col min="8577" max="8578" width="9.140625" style="211"/>
    <col min="8579" max="8579" width="10.5703125" style="211" customWidth="1"/>
    <col min="8580" max="8704" width="9.140625" style="211"/>
    <col min="8705" max="8705" width="2.7109375" style="211" customWidth="1"/>
    <col min="8706" max="8706" width="9.140625" style="211"/>
    <col min="8707" max="8707" width="9.42578125" style="211" customWidth="1"/>
    <col min="8708" max="8708" width="0" style="211" hidden="1" customWidth="1"/>
    <col min="8709" max="8709" width="9.140625" style="211"/>
    <col min="8710" max="8710" width="2.42578125" style="211" customWidth="1"/>
    <col min="8711" max="8711" width="9.140625" style="211"/>
    <col min="8712" max="8712" width="9.42578125" style="211" customWidth="1"/>
    <col min="8713" max="8713" width="0" style="211" hidden="1" customWidth="1"/>
    <col min="8714" max="8714" width="9.140625" style="211"/>
    <col min="8715" max="8715" width="2.28515625" style="211" customWidth="1"/>
    <col min="8716" max="8716" width="9.140625" style="211"/>
    <col min="8717" max="8717" width="9.42578125" style="211" customWidth="1"/>
    <col min="8718" max="8718" width="0" style="211" hidden="1" customWidth="1"/>
    <col min="8719" max="8719" width="9.140625" style="211"/>
    <col min="8720" max="8720" width="2.5703125" style="211" customWidth="1"/>
    <col min="8721" max="8721" width="9.140625" style="211"/>
    <col min="8722" max="8722" width="9.5703125" style="211" customWidth="1"/>
    <col min="8723" max="8723" width="0" style="211" hidden="1" customWidth="1"/>
    <col min="8724" max="8724" width="9.140625" style="211"/>
    <col min="8725" max="8725" width="2.7109375" style="211" customWidth="1"/>
    <col min="8726" max="8727" width="9.140625" style="211"/>
    <col min="8728" max="8728" width="3.140625" style="211" customWidth="1"/>
    <col min="8729" max="8729" width="4" style="211" customWidth="1"/>
    <col min="8730" max="8730" width="9.42578125" style="211" customWidth="1"/>
    <col min="8731" max="8732" width="9.140625" style="211"/>
    <col min="8733" max="8733" width="10.5703125" style="211" customWidth="1"/>
    <col min="8734" max="8734" width="9.140625" style="211"/>
    <col min="8735" max="8735" width="4" style="211" customWidth="1"/>
    <col min="8736" max="8736" width="9.42578125" style="211" customWidth="1"/>
    <col min="8737" max="8738" width="9.140625" style="211"/>
    <col min="8739" max="8739" width="10.5703125" style="211" customWidth="1"/>
    <col min="8740" max="8740" width="9.140625" style="211"/>
    <col min="8741" max="8741" width="4" style="211" customWidth="1"/>
    <col min="8742" max="8742" width="9.42578125" style="211" customWidth="1"/>
    <col min="8743" max="8744" width="9.140625" style="211"/>
    <col min="8745" max="8745" width="10.5703125" style="211" customWidth="1"/>
    <col min="8746" max="8746" width="9.140625" style="211"/>
    <col min="8747" max="8747" width="4" style="211" customWidth="1"/>
    <col min="8748" max="8748" width="9.42578125" style="211" customWidth="1"/>
    <col min="8749" max="8750" width="9.140625" style="211"/>
    <col min="8751" max="8751" width="10.5703125" style="211" customWidth="1"/>
    <col min="8752" max="8752" width="9.140625" style="211"/>
    <col min="8753" max="8753" width="4" style="211" customWidth="1"/>
    <col min="8754" max="8754" width="9.42578125" style="211" customWidth="1"/>
    <col min="8755" max="8756" width="9.140625" style="211"/>
    <col min="8757" max="8757" width="10.5703125" style="211" customWidth="1"/>
    <col min="8758" max="8758" width="9.140625" style="211"/>
    <col min="8759" max="8759" width="4" style="211" customWidth="1"/>
    <col min="8760" max="8760" width="9.42578125" style="211" customWidth="1"/>
    <col min="8761" max="8762" width="9.140625" style="211"/>
    <col min="8763" max="8763" width="10.5703125" style="211" customWidth="1"/>
    <col min="8764" max="8764" width="9.140625" style="211"/>
    <col min="8765" max="8765" width="4" style="211" customWidth="1"/>
    <col min="8766" max="8766" width="9.42578125" style="211" customWidth="1"/>
    <col min="8767" max="8768" width="9.140625" style="211"/>
    <col min="8769" max="8769" width="10.5703125" style="211" customWidth="1"/>
    <col min="8770" max="8770" width="9.140625" style="211"/>
    <col min="8771" max="8771" width="4" style="211" customWidth="1"/>
    <col min="8772" max="8772" width="9.42578125" style="211" customWidth="1"/>
    <col min="8773" max="8774" width="9.140625" style="211"/>
    <col min="8775" max="8775" width="10.5703125" style="211" customWidth="1"/>
    <col min="8776" max="8776" width="9.140625" style="211"/>
    <col min="8777" max="8777" width="4" style="211" customWidth="1"/>
    <col min="8778" max="8778" width="9.42578125" style="211" customWidth="1"/>
    <col min="8779" max="8780" width="9.140625" style="211"/>
    <col min="8781" max="8781" width="10.5703125" style="211" customWidth="1"/>
    <col min="8782" max="8782" width="9.140625" style="211"/>
    <col min="8783" max="8783" width="4" style="211" customWidth="1"/>
    <col min="8784" max="8784" width="9.42578125" style="211" customWidth="1"/>
    <col min="8785" max="8786" width="9.140625" style="211"/>
    <col min="8787" max="8787" width="10.5703125" style="211" customWidth="1"/>
    <col min="8788" max="8788" width="9.140625" style="211"/>
    <col min="8789" max="8789" width="4" style="211" customWidth="1"/>
    <col min="8790" max="8790" width="9.42578125" style="211" customWidth="1"/>
    <col min="8791" max="8792" width="9.140625" style="211"/>
    <col min="8793" max="8793" width="10.5703125" style="211" customWidth="1"/>
    <col min="8794" max="8794" width="9.140625" style="211"/>
    <col min="8795" max="8795" width="4" style="211" customWidth="1"/>
    <col min="8796" max="8796" width="9.42578125" style="211" customWidth="1"/>
    <col min="8797" max="8798" width="9.140625" style="211"/>
    <col min="8799" max="8799" width="10.5703125" style="211" customWidth="1"/>
    <col min="8800" max="8800" width="9.140625" style="211"/>
    <col min="8801" max="8801" width="4" style="211" customWidth="1"/>
    <col min="8802" max="8802" width="9.42578125" style="211" customWidth="1"/>
    <col min="8803" max="8804" width="9.140625" style="211"/>
    <col min="8805" max="8805" width="10.5703125" style="211" customWidth="1"/>
    <col min="8806" max="8806" width="9.140625" style="211"/>
    <col min="8807" max="8807" width="4" style="211" customWidth="1"/>
    <col min="8808" max="8808" width="12.42578125" style="211" customWidth="1"/>
    <col min="8809" max="8810" width="9.140625" style="211"/>
    <col min="8811" max="8811" width="10.5703125" style="211" customWidth="1"/>
    <col min="8812" max="8812" width="9.140625" style="211"/>
    <col min="8813" max="8813" width="4" style="211" customWidth="1"/>
    <col min="8814" max="8814" width="12.42578125" style="211" customWidth="1"/>
    <col min="8815" max="8816" width="9.140625" style="211"/>
    <col min="8817" max="8817" width="10.5703125" style="211" customWidth="1"/>
    <col min="8818" max="8818" width="9.140625" style="211"/>
    <col min="8819" max="8819" width="4" style="211" customWidth="1"/>
    <col min="8820" max="8820" width="12.42578125" style="211" customWidth="1"/>
    <col min="8821" max="8822" width="9.140625" style="211"/>
    <col min="8823" max="8823" width="10.5703125" style="211" customWidth="1"/>
    <col min="8824" max="8824" width="9.140625" style="211"/>
    <col min="8825" max="8825" width="4" style="211" customWidth="1"/>
    <col min="8826" max="8826" width="12.42578125" style="211" customWidth="1"/>
    <col min="8827" max="8828" width="9.140625" style="211"/>
    <col min="8829" max="8829" width="10.5703125" style="211" customWidth="1"/>
    <col min="8830" max="8830" width="9.140625" style="211"/>
    <col min="8831" max="8831" width="4" style="211" customWidth="1"/>
    <col min="8832" max="8832" width="12.42578125" style="211" customWidth="1"/>
    <col min="8833" max="8834" width="9.140625" style="211"/>
    <col min="8835" max="8835" width="10.5703125" style="211" customWidth="1"/>
    <col min="8836" max="8960" width="9.140625" style="211"/>
    <col min="8961" max="8961" width="2.7109375" style="211" customWidth="1"/>
    <col min="8962" max="8962" width="9.140625" style="211"/>
    <col min="8963" max="8963" width="9.42578125" style="211" customWidth="1"/>
    <col min="8964" max="8964" width="0" style="211" hidden="1" customWidth="1"/>
    <col min="8965" max="8965" width="9.140625" style="211"/>
    <col min="8966" max="8966" width="2.42578125" style="211" customWidth="1"/>
    <col min="8967" max="8967" width="9.140625" style="211"/>
    <col min="8968" max="8968" width="9.42578125" style="211" customWidth="1"/>
    <col min="8969" max="8969" width="0" style="211" hidden="1" customWidth="1"/>
    <col min="8970" max="8970" width="9.140625" style="211"/>
    <col min="8971" max="8971" width="2.28515625" style="211" customWidth="1"/>
    <col min="8972" max="8972" width="9.140625" style="211"/>
    <col min="8973" max="8973" width="9.42578125" style="211" customWidth="1"/>
    <col min="8974" max="8974" width="0" style="211" hidden="1" customWidth="1"/>
    <col min="8975" max="8975" width="9.140625" style="211"/>
    <col min="8976" max="8976" width="2.5703125" style="211" customWidth="1"/>
    <col min="8977" max="8977" width="9.140625" style="211"/>
    <col min="8978" max="8978" width="9.5703125" style="211" customWidth="1"/>
    <col min="8979" max="8979" width="0" style="211" hidden="1" customWidth="1"/>
    <col min="8980" max="8980" width="9.140625" style="211"/>
    <col min="8981" max="8981" width="2.7109375" style="211" customWidth="1"/>
    <col min="8982" max="8983" width="9.140625" style="211"/>
    <col min="8984" max="8984" width="3.140625" style="211" customWidth="1"/>
    <col min="8985" max="8985" width="4" style="211" customWidth="1"/>
    <col min="8986" max="8986" width="9.42578125" style="211" customWidth="1"/>
    <col min="8987" max="8988" width="9.140625" style="211"/>
    <col min="8989" max="8989" width="10.5703125" style="211" customWidth="1"/>
    <col min="8990" max="8990" width="9.140625" style="211"/>
    <col min="8991" max="8991" width="4" style="211" customWidth="1"/>
    <col min="8992" max="8992" width="9.42578125" style="211" customWidth="1"/>
    <col min="8993" max="8994" width="9.140625" style="211"/>
    <col min="8995" max="8995" width="10.5703125" style="211" customWidth="1"/>
    <col min="8996" max="8996" width="9.140625" style="211"/>
    <col min="8997" max="8997" width="4" style="211" customWidth="1"/>
    <col min="8998" max="8998" width="9.42578125" style="211" customWidth="1"/>
    <col min="8999" max="9000" width="9.140625" style="211"/>
    <col min="9001" max="9001" width="10.5703125" style="211" customWidth="1"/>
    <col min="9002" max="9002" width="9.140625" style="211"/>
    <col min="9003" max="9003" width="4" style="211" customWidth="1"/>
    <col min="9004" max="9004" width="9.42578125" style="211" customWidth="1"/>
    <col min="9005" max="9006" width="9.140625" style="211"/>
    <col min="9007" max="9007" width="10.5703125" style="211" customWidth="1"/>
    <col min="9008" max="9008" width="9.140625" style="211"/>
    <col min="9009" max="9009" width="4" style="211" customWidth="1"/>
    <col min="9010" max="9010" width="9.42578125" style="211" customWidth="1"/>
    <col min="9011" max="9012" width="9.140625" style="211"/>
    <col min="9013" max="9013" width="10.5703125" style="211" customWidth="1"/>
    <col min="9014" max="9014" width="9.140625" style="211"/>
    <col min="9015" max="9015" width="4" style="211" customWidth="1"/>
    <col min="9016" max="9016" width="9.42578125" style="211" customWidth="1"/>
    <col min="9017" max="9018" width="9.140625" style="211"/>
    <col min="9019" max="9019" width="10.5703125" style="211" customWidth="1"/>
    <col min="9020" max="9020" width="9.140625" style="211"/>
    <col min="9021" max="9021" width="4" style="211" customWidth="1"/>
    <col min="9022" max="9022" width="9.42578125" style="211" customWidth="1"/>
    <col min="9023" max="9024" width="9.140625" style="211"/>
    <col min="9025" max="9025" width="10.5703125" style="211" customWidth="1"/>
    <col min="9026" max="9026" width="9.140625" style="211"/>
    <col min="9027" max="9027" width="4" style="211" customWidth="1"/>
    <col min="9028" max="9028" width="9.42578125" style="211" customWidth="1"/>
    <col min="9029" max="9030" width="9.140625" style="211"/>
    <col min="9031" max="9031" width="10.5703125" style="211" customWidth="1"/>
    <col min="9032" max="9032" width="9.140625" style="211"/>
    <col min="9033" max="9033" width="4" style="211" customWidth="1"/>
    <col min="9034" max="9034" width="9.42578125" style="211" customWidth="1"/>
    <col min="9035" max="9036" width="9.140625" style="211"/>
    <col min="9037" max="9037" width="10.5703125" style="211" customWidth="1"/>
    <col min="9038" max="9038" width="9.140625" style="211"/>
    <col min="9039" max="9039" width="4" style="211" customWidth="1"/>
    <col min="9040" max="9040" width="9.42578125" style="211" customWidth="1"/>
    <col min="9041" max="9042" width="9.140625" style="211"/>
    <col min="9043" max="9043" width="10.5703125" style="211" customWidth="1"/>
    <col min="9044" max="9044" width="9.140625" style="211"/>
    <col min="9045" max="9045" width="4" style="211" customWidth="1"/>
    <col min="9046" max="9046" width="9.42578125" style="211" customWidth="1"/>
    <col min="9047" max="9048" width="9.140625" style="211"/>
    <col min="9049" max="9049" width="10.5703125" style="211" customWidth="1"/>
    <col min="9050" max="9050" width="9.140625" style="211"/>
    <col min="9051" max="9051" width="4" style="211" customWidth="1"/>
    <col min="9052" max="9052" width="9.42578125" style="211" customWidth="1"/>
    <col min="9053" max="9054" width="9.140625" style="211"/>
    <col min="9055" max="9055" width="10.5703125" style="211" customWidth="1"/>
    <col min="9056" max="9056" width="9.140625" style="211"/>
    <col min="9057" max="9057" width="4" style="211" customWidth="1"/>
    <col min="9058" max="9058" width="9.42578125" style="211" customWidth="1"/>
    <col min="9059" max="9060" width="9.140625" style="211"/>
    <col min="9061" max="9061" width="10.5703125" style="211" customWidth="1"/>
    <col min="9062" max="9062" width="9.140625" style="211"/>
    <col min="9063" max="9063" width="4" style="211" customWidth="1"/>
    <col min="9064" max="9064" width="12.42578125" style="211" customWidth="1"/>
    <col min="9065" max="9066" width="9.140625" style="211"/>
    <col min="9067" max="9067" width="10.5703125" style="211" customWidth="1"/>
    <col min="9068" max="9068" width="9.140625" style="211"/>
    <col min="9069" max="9069" width="4" style="211" customWidth="1"/>
    <col min="9070" max="9070" width="12.42578125" style="211" customWidth="1"/>
    <col min="9071" max="9072" width="9.140625" style="211"/>
    <col min="9073" max="9073" width="10.5703125" style="211" customWidth="1"/>
    <col min="9074" max="9074" width="9.140625" style="211"/>
    <col min="9075" max="9075" width="4" style="211" customWidth="1"/>
    <col min="9076" max="9076" width="12.42578125" style="211" customWidth="1"/>
    <col min="9077" max="9078" width="9.140625" style="211"/>
    <col min="9079" max="9079" width="10.5703125" style="211" customWidth="1"/>
    <col min="9080" max="9080" width="9.140625" style="211"/>
    <col min="9081" max="9081" width="4" style="211" customWidth="1"/>
    <col min="9082" max="9082" width="12.42578125" style="211" customWidth="1"/>
    <col min="9083" max="9084" width="9.140625" style="211"/>
    <col min="9085" max="9085" width="10.5703125" style="211" customWidth="1"/>
    <col min="9086" max="9086" width="9.140625" style="211"/>
    <col min="9087" max="9087" width="4" style="211" customWidth="1"/>
    <col min="9088" max="9088" width="12.42578125" style="211" customWidth="1"/>
    <col min="9089" max="9090" width="9.140625" style="211"/>
    <col min="9091" max="9091" width="10.5703125" style="211" customWidth="1"/>
    <col min="9092" max="9216" width="9.140625" style="211"/>
    <col min="9217" max="9217" width="2.7109375" style="211" customWidth="1"/>
    <col min="9218" max="9218" width="9.140625" style="211"/>
    <col min="9219" max="9219" width="9.42578125" style="211" customWidth="1"/>
    <col min="9220" max="9220" width="0" style="211" hidden="1" customWidth="1"/>
    <col min="9221" max="9221" width="9.140625" style="211"/>
    <col min="9222" max="9222" width="2.42578125" style="211" customWidth="1"/>
    <col min="9223" max="9223" width="9.140625" style="211"/>
    <col min="9224" max="9224" width="9.42578125" style="211" customWidth="1"/>
    <col min="9225" max="9225" width="0" style="211" hidden="1" customWidth="1"/>
    <col min="9226" max="9226" width="9.140625" style="211"/>
    <col min="9227" max="9227" width="2.28515625" style="211" customWidth="1"/>
    <col min="9228" max="9228" width="9.140625" style="211"/>
    <col min="9229" max="9229" width="9.42578125" style="211" customWidth="1"/>
    <col min="9230" max="9230" width="0" style="211" hidden="1" customWidth="1"/>
    <col min="9231" max="9231" width="9.140625" style="211"/>
    <col min="9232" max="9232" width="2.5703125" style="211" customWidth="1"/>
    <col min="9233" max="9233" width="9.140625" style="211"/>
    <col min="9234" max="9234" width="9.5703125" style="211" customWidth="1"/>
    <col min="9235" max="9235" width="0" style="211" hidden="1" customWidth="1"/>
    <col min="9236" max="9236" width="9.140625" style="211"/>
    <col min="9237" max="9237" width="2.7109375" style="211" customWidth="1"/>
    <col min="9238" max="9239" width="9.140625" style="211"/>
    <col min="9240" max="9240" width="3.140625" style="211" customWidth="1"/>
    <col min="9241" max="9241" width="4" style="211" customWidth="1"/>
    <col min="9242" max="9242" width="9.42578125" style="211" customWidth="1"/>
    <col min="9243" max="9244" width="9.140625" style="211"/>
    <col min="9245" max="9245" width="10.5703125" style="211" customWidth="1"/>
    <col min="9246" max="9246" width="9.140625" style="211"/>
    <col min="9247" max="9247" width="4" style="211" customWidth="1"/>
    <col min="9248" max="9248" width="9.42578125" style="211" customWidth="1"/>
    <col min="9249" max="9250" width="9.140625" style="211"/>
    <col min="9251" max="9251" width="10.5703125" style="211" customWidth="1"/>
    <col min="9252" max="9252" width="9.140625" style="211"/>
    <col min="9253" max="9253" width="4" style="211" customWidth="1"/>
    <col min="9254" max="9254" width="9.42578125" style="211" customWidth="1"/>
    <col min="9255" max="9256" width="9.140625" style="211"/>
    <col min="9257" max="9257" width="10.5703125" style="211" customWidth="1"/>
    <col min="9258" max="9258" width="9.140625" style="211"/>
    <col min="9259" max="9259" width="4" style="211" customWidth="1"/>
    <col min="9260" max="9260" width="9.42578125" style="211" customWidth="1"/>
    <col min="9261" max="9262" width="9.140625" style="211"/>
    <col min="9263" max="9263" width="10.5703125" style="211" customWidth="1"/>
    <col min="9264" max="9264" width="9.140625" style="211"/>
    <col min="9265" max="9265" width="4" style="211" customWidth="1"/>
    <col min="9266" max="9266" width="9.42578125" style="211" customWidth="1"/>
    <col min="9267" max="9268" width="9.140625" style="211"/>
    <col min="9269" max="9269" width="10.5703125" style="211" customWidth="1"/>
    <col min="9270" max="9270" width="9.140625" style="211"/>
    <col min="9271" max="9271" width="4" style="211" customWidth="1"/>
    <col min="9272" max="9272" width="9.42578125" style="211" customWidth="1"/>
    <col min="9273" max="9274" width="9.140625" style="211"/>
    <col min="9275" max="9275" width="10.5703125" style="211" customWidth="1"/>
    <col min="9276" max="9276" width="9.140625" style="211"/>
    <col min="9277" max="9277" width="4" style="211" customWidth="1"/>
    <col min="9278" max="9278" width="9.42578125" style="211" customWidth="1"/>
    <col min="9279" max="9280" width="9.140625" style="211"/>
    <col min="9281" max="9281" width="10.5703125" style="211" customWidth="1"/>
    <col min="9282" max="9282" width="9.140625" style="211"/>
    <col min="9283" max="9283" width="4" style="211" customWidth="1"/>
    <col min="9284" max="9284" width="9.42578125" style="211" customWidth="1"/>
    <col min="9285" max="9286" width="9.140625" style="211"/>
    <col min="9287" max="9287" width="10.5703125" style="211" customWidth="1"/>
    <col min="9288" max="9288" width="9.140625" style="211"/>
    <col min="9289" max="9289" width="4" style="211" customWidth="1"/>
    <col min="9290" max="9290" width="9.42578125" style="211" customWidth="1"/>
    <col min="9291" max="9292" width="9.140625" style="211"/>
    <col min="9293" max="9293" width="10.5703125" style="211" customWidth="1"/>
    <col min="9294" max="9294" width="9.140625" style="211"/>
    <col min="9295" max="9295" width="4" style="211" customWidth="1"/>
    <col min="9296" max="9296" width="9.42578125" style="211" customWidth="1"/>
    <col min="9297" max="9298" width="9.140625" style="211"/>
    <col min="9299" max="9299" width="10.5703125" style="211" customWidth="1"/>
    <col min="9300" max="9300" width="9.140625" style="211"/>
    <col min="9301" max="9301" width="4" style="211" customWidth="1"/>
    <col min="9302" max="9302" width="9.42578125" style="211" customWidth="1"/>
    <col min="9303" max="9304" width="9.140625" style="211"/>
    <col min="9305" max="9305" width="10.5703125" style="211" customWidth="1"/>
    <col min="9306" max="9306" width="9.140625" style="211"/>
    <col min="9307" max="9307" width="4" style="211" customWidth="1"/>
    <col min="9308" max="9308" width="9.42578125" style="211" customWidth="1"/>
    <col min="9309" max="9310" width="9.140625" style="211"/>
    <col min="9311" max="9311" width="10.5703125" style="211" customWidth="1"/>
    <col min="9312" max="9312" width="9.140625" style="211"/>
    <col min="9313" max="9313" width="4" style="211" customWidth="1"/>
    <col min="9314" max="9314" width="9.42578125" style="211" customWidth="1"/>
    <col min="9315" max="9316" width="9.140625" style="211"/>
    <col min="9317" max="9317" width="10.5703125" style="211" customWidth="1"/>
    <col min="9318" max="9318" width="9.140625" style="211"/>
    <col min="9319" max="9319" width="4" style="211" customWidth="1"/>
    <col min="9320" max="9320" width="12.42578125" style="211" customWidth="1"/>
    <col min="9321" max="9322" width="9.140625" style="211"/>
    <col min="9323" max="9323" width="10.5703125" style="211" customWidth="1"/>
    <col min="9324" max="9324" width="9.140625" style="211"/>
    <col min="9325" max="9325" width="4" style="211" customWidth="1"/>
    <col min="9326" max="9326" width="12.42578125" style="211" customWidth="1"/>
    <col min="9327" max="9328" width="9.140625" style="211"/>
    <col min="9329" max="9329" width="10.5703125" style="211" customWidth="1"/>
    <col min="9330" max="9330" width="9.140625" style="211"/>
    <col min="9331" max="9331" width="4" style="211" customWidth="1"/>
    <col min="9332" max="9332" width="12.42578125" style="211" customWidth="1"/>
    <col min="9333" max="9334" width="9.140625" style="211"/>
    <col min="9335" max="9335" width="10.5703125" style="211" customWidth="1"/>
    <col min="9336" max="9336" width="9.140625" style="211"/>
    <col min="9337" max="9337" width="4" style="211" customWidth="1"/>
    <col min="9338" max="9338" width="12.42578125" style="211" customWidth="1"/>
    <col min="9339" max="9340" width="9.140625" style="211"/>
    <col min="9341" max="9341" width="10.5703125" style="211" customWidth="1"/>
    <col min="9342" max="9342" width="9.140625" style="211"/>
    <col min="9343" max="9343" width="4" style="211" customWidth="1"/>
    <col min="9344" max="9344" width="12.42578125" style="211" customWidth="1"/>
    <col min="9345" max="9346" width="9.140625" style="211"/>
    <col min="9347" max="9347" width="10.5703125" style="211" customWidth="1"/>
    <col min="9348" max="9472" width="9.140625" style="211"/>
    <col min="9473" max="9473" width="2.7109375" style="211" customWidth="1"/>
    <col min="9474" max="9474" width="9.140625" style="211"/>
    <col min="9475" max="9475" width="9.42578125" style="211" customWidth="1"/>
    <col min="9476" max="9476" width="0" style="211" hidden="1" customWidth="1"/>
    <col min="9477" max="9477" width="9.140625" style="211"/>
    <col min="9478" max="9478" width="2.42578125" style="211" customWidth="1"/>
    <col min="9479" max="9479" width="9.140625" style="211"/>
    <col min="9480" max="9480" width="9.42578125" style="211" customWidth="1"/>
    <col min="9481" max="9481" width="0" style="211" hidden="1" customWidth="1"/>
    <col min="9482" max="9482" width="9.140625" style="211"/>
    <col min="9483" max="9483" width="2.28515625" style="211" customWidth="1"/>
    <col min="9484" max="9484" width="9.140625" style="211"/>
    <col min="9485" max="9485" width="9.42578125" style="211" customWidth="1"/>
    <col min="9486" max="9486" width="0" style="211" hidden="1" customWidth="1"/>
    <col min="9487" max="9487" width="9.140625" style="211"/>
    <col min="9488" max="9488" width="2.5703125" style="211" customWidth="1"/>
    <col min="9489" max="9489" width="9.140625" style="211"/>
    <col min="9490" max="9490" width="9.5703125" style="211" customWidth="1"/>
    <col min="9491" max="9491" width="0" style="211" hidden="1" customWidth="1"/>
    <col min="9492" max="9492" width="9.140625" style="211"/>
    <col min="9493" max="9493" width="2.7109375" style="211" customWidth="1"/>
    <col min="9494" max="9495" width="9.140625" style="211"/>
    <col min="9496" max="9496" width="3.140625" style="211" customWidth="1"/>
    <col min="9497" max="9497" width="4" style="211" customWidth="1"/>
    <col min="9498" max="9498" width="9.42578125" style="211" customWidth="1"/>
    <col min="9499" max="9500" width="9.140625" style="211"/>
    <col min="9501" max="9501" width="10.5703125" style="211" customWidth="1"/>
    <col min="9502" max="9502" width="9.140625" style="211"/>
    <col min="9503" max="9503" width="4" style="211" customWidth="1"/>
    <col min="9504" max="9504" width="9.42578125" style="211" customWidth="1"/>
    <col min="9505" max="9506" width="9.140625" style="211"/>
    <col min="9507" max="9507" width="10.5703125" style="211" customWidth="1"/>
    <col min="9508" max="9508" width="9.140625" style="211"/>
    <col min="9509" max="9509" width="4" style="211" customWidth="1"/>
    <col min="9510" max="9510" width="9.42578125" style="211" customWidth="1"/>
    <col min="9511" max="9512" width="9.140625" style="211"/>
    <col min="9513" max="9513" width="10.5703125" style="211" customWidth="1"/>
    <col min="9514" max="9514" width="9.140625" style="211"/>
    <col min="9515" max="9515" width="4" style="211" customWidth="1"/>
    <col min="9516" max="9516" width="9.42578125" style="211" customWidth="1"/>
    <col min="9517" max="9518" width="9.140625" style="211"/>
    <col min="9519" max="9519" width="10.5703125" style="211" customWidth="1"/>
    <col min="9520" max="9520" width="9.140625" style="211"/>
    <col min="9521" max="9521" width="4" style="211" customWidth="1"/>
    <col min="9522" max="9522" width="9.42578125" style="211" customWidth="1"/>
    <col min="9523" max="9524" width="9.140625" style="211"/>
    <col min="9525" max="9525" width="10.5703125" style="211" customWidth="1"/>
    <col min="9526" max="9526" width="9.140625" style="211"/>
    <col min="9527" max="9527" width="4" style="211" customWidth="1"/>
    <col min="9528" max="9528" width="9.42578125" style="211" customWidth="1"/>
    <col min="9529" max="9530" width="9.140625" style="211"/>
    <col min="9531" max="9531" width="10.5703125" style="211" customWidth="1"/>
    <col min="9532" max="9532" width="9.140625" style="211"/>
    <col min="9533" max="9533" width="4" style="211" customWidth="1"/>
    <col min="9534" max="9534" width="9.42578125" style="211" customWidth="1"/>
    <col min="9535" max="9536" width="9.140625" style="211"/>
    <col min="9537" max="9537" width="10.5703125" style="211" customWidth="1"/>
    <col min="9538" max="9538" width="9.140625" style="211"/>
    <col min="9539" max="9539" width="4" style="211" customWidth="1"/>
    <col min="9540" max="9540" width="9.42578125" style="211" customWidth="1"/>
    <col min="9541" max="9542" width="9.140625" style="211"/>
    <col min="9543" max="9543" width="10.5703125" style="211" customWidth="1"/>
    <col min="9544" max="9544" width="9.140625" style="211"/>
    <col min="9545" max="9545" width="4" style="211" customWidth="1"/>
    <col min="9546" max="9546" width="9.42578125" style="211" customWidth="1"/>
    <col min="9547" max="9548" width="9.140625" style="211"/>
    <col min="9549" max="9549" width="10.5703125" style="211" customWidth="1"/>
    <col min="9550" max="9550" width="9.140625" style="211"/>
    <col min="9551" max="9551" width="4" style="211" customWidth="1"/>
    <col min="9552" max="9552" width="9.42578125" style="211" customWidth="1"/>
    <col min="9553" max="9554" width="9.140625" style="211"/>
    <col min="9555" max="9555" width="10.5703125" style="211" customWidth="1"/>
    <col min="9556" max="9556" width="9.140625" style="211"/>
    <col min="9557" max="9557" width="4" style="211" customWidth="1"/>
    <col min="9558" max="9558" width="9.42578125" style="211" customWidth="1"/>
    <col min="9559" max="9560" width="9.140625" style="211"/>
    <col min="9561" max="9561" width="10.5703125" style="211" customWidth="1"/>
    <col min="9562" max="9562" width="9.140625" style="211"/>
    <col min="9563" max="9563" width="4" style="211" customWidth="1"/>
    <col min="9564" max="9564" width="9.42578125" style="211" customWidth="1"/>
    <col min="9565" max="9566" width="9.140625" style="211"/>
    <col min="9567" max="9567" width="10.5703125" style="211" customWidth="1"/>
    <col min="9568" max="9568" width="9.140625" style="211"/>
    <col min="9569" max="9569" width="4" style="211" customWidth="1"/>
    <col min="9570" max="9570" width="9.42578125" style="211" customWidth="1"/>
    <col min="9571" max="9572" width="9.140625" style="211"/>
    <col min="9573" max="9573" width="10.5703125" style="211" customWidth="1"/>
    <col min="9574" max="9574" width="9.140625" style="211"/>
    <col min="9575" max="9575" width="4" style="211" customWidth="1"/>
    <col min="9576" max="9576" width="12.42578125" style="211" customWidth="1"/>
    <col min="9577" max="9578" width="9.140625" style="211"/>
    <col min="9579" max="9579" width="10.5703125" style="211" customWidth="1"/>
    <col min="9580" max="9580" width="9.140625" style="211"/>
    <col min="9581" max="9581" width="4" style="211" customWidth="1"/>
    <col min="9582" max="9582" width="12.42578125" style="211" customWidth="1"/>
    <col min="9583" max="9584" width="9.140625" style="211"/>
    <col min="9585" max="9585" width="10.5703125" style="211" customWidth="1"/>
    <col min="9586" max="9586" width="9.140625" style="211"/>
    <col min="9587" max="9587" width="4" style="211" customWidth="1"/>
    <col min="9588" max="9588" width="12.42578125" style="211" customWidth="1"/>
    <col min="9589" max="9590" width="9.140625" style="211"/>
    <col min="9591" max="9591" width="10.5703125" style="211" customWidth="1"/>
    <col min="9592" max="9592" width="9.140625" style="211"/>
    <col min="9593" max="9593" width="4" style="211" customWidth="1"/>
    <col min="9594" max="9594" width="12.42578125" style="211" customWidth="1"/>
    <col min="9595" max="9596" width="9.140625" style="211"/>
    <col min="9597" max="9597" width="10.5703125" style="211" customWidth="1"/>
    <col min="9598" max="9598" width="9.140625" style="211"/>
    <col min="9599" max="9599" width="4" style="211" customWidth="1"/>
    <col min="9600" max="9600" width="12.42578125" style="211" customWidth="1"/>
    <col min="9601" max="9602" width="9.140625" style="211"/>
    <col min="9603" max="9603" width="10.5703125" style="211" customWidth="1"/>
    <col min="9604" max="9728" width="9.140625" style="211"/>
    <col min="9729" max="9729" width="2.7109375" style="211" customWidth="1"/>
    <col min="9730" max="9730" width="9.140625" style="211"/>
    <col min="9731" max="9731" width="9.42578125" style="211" customWidth="1"/>
    <col min="9732" max="9732" width="0" style="211" hidden="1" customWidth="1"/>
    <col min="9733" max="9733" width="9.140625" style="211"/>
    <col min="9734" max="9734" width="2.42578125" style="211" customWidth="1"/>
    <col min="9735" max="9735" width="9.140625" style="211"/>
    <col min="9736" max="9736" width="9.42578125" style="211" customWidth="1"/>
    <col min="9737" max="9737" width="0" style="211" hidden="1" customWidth="1"/>
    <col min="9738" max="9738" width="9.140625" style="211"/>
    <col min="9739" max="9739" width="2.28515625" style="211" customWidth="1"/>
    <col min="9740" max="9740" width="9.140625" style="211"/>
    <col min="9741" max="9741" width="9.42578125" style="211" customWidth="1"/>
    <col min="9742" max="9742" width="0" style="211" hidden="1" customWidth="1"/>
    <col min="9743" max="9743" width="9.140625" style="211"/>
    <col min="9744" max="9744" width="2.5703125" style="211" customWidth="1"/>
    <col min="9745" max="9745" width="9.140625" style="211"/>
    <col min="9746" max="9746" width="9.5703125" style="211" customWidth="1"/>
    <col min="9747" max="9747" width="0" style="211" hidden="1" customWidth="1"/>
    <col min="9748" max="9748" width="9.140625" style="211"/>
    <col min="9749" max="9749" width="2.7109375" style="211" customWidth="1"/>
    <col min="9750" max="9751" width="9.140625" style="211"/>
    <col min="9752" max="9752" width="3.140625" style="211" customWidth="1"/>
    <col min="9753" max="9753" width="4" style="211" customWidth="1"/>
    <col min="9754" max="9754" width="9.42578125" style="211" customWidth="1"/>
    <col min="9755" max="9756" width="9.140625" style="211"/>
    <col min="9757" max="9757" width="10.5703125" style="211" customWidth="1"/>
    <col min="9758" max="9758" width="9.140625" style="211"/>
    <col min="9759" max="9759" width="4" style="211" customWidth="1"/>
    <col min="9760" max="9760" width="9.42578125" style="211" customWidth="1"/>
    <col min="9761" max="9762" width="9.140625" style="211"/>
    <col min="9763" max="9763" width="10.5703125" style="211" customWidth="1"/>
    <col min="9764" max="9764" width="9.140625" style="211"/>
    <col min="9765" max="9765" width="4" style="211" customWidth="1"/>
    <col min="9766" max="9766" width="9.42578125" style="211" customWidth="1"/>
    <col min="9767" max="9768" width="9.140625" style="211"/>
    <col min="9769" max="9769" width="10.5703125" style="211" customWidth="1"/>
    <col min="9770" max="9770" width="9.140625" style="211"/>
    <col min="9771" max="9771" width="4" style="211" customWidth="1"/>
    <col min="9772" max="9772" width="9.42578125" style="211" customWidth="1"/>
    <col min="9773" max="9774" width="9.140625" style="211"/>
    <col min="9775" max="9775" width="10.5703125" style="211" customWidth="1"/>
    <col min="9776" max="9776" width="9.140625" style="211"/>
    <col min="9777" max="9777" width="4" style="211" customWidth="1"/>
    <col min="9778" max="9778" width="9.42578125" style="211" customWidth="1"/>
    <col min="9779" max="9780" width="9.140625" style="211"/>
    <col min="9781" max="9781" width="10.5703125" style="211" customWidth="1"/>
    <col min="9782" max="9782" width="9.140625" style="211"/>
    <col min="9783" max="9783" width="4" style="211" customWidth="1"/>
    <col min="9784" max="9784" width="9.42578125" style="211" customWidth="1"/>
    <col min="9785" max="9786" width="9.140625" style="211"/>
    <col min="9787" max="9787" width="10.5703125" style="211" customWidth="1"/>
    <col min="9788" max="9788" width="9.140625" style="211"/>
    <col min="9789" max="9789" width="4" style="211" customWidth="1"/>
    <col min="9790" max="9790" width="9.42578125" style="211" customWidth="1"/>
    <col min="9791" max="9792" width="9.140625" style="211"/>
    <col min="9793" max="9793" width="10.5703125" style="211" customWidth="1"/>
    <col min="9794" max="9794" width="9.140625" style="211"/>
    <col min="9795" max="9795" width="4" style="211" customWidth="1"/>
    <col min="9796" max="9796" width="9.42578125" style="211" customWidth="1"/>
    <col min="9797" max="9798" width="9.140625" style="211"/>
    <col min="9799" max="9799" width="10.5703125" style="211" customWidth="1"/>
    <col min="9800" max="9800" width="9.140625" style="211"/>
    <col min="9801" max="9801" width="4" style="211" customWidth="1"/>
    <col min="9802" max="9802" width="9.42578125" style="211" customWidth="1"/>
    <col min="9803" max="9804" width="9.140625" style="211"/>
    <col min="9805" max="9805" width="10.5703125" style="211" customWidth="1"/>
    <col min="9806" max="9806" width="9.140625" style="211"/>
    <col min="9807" max="9807" width="4" style="211" customWidth="1"/>
    <col min="9808" max="9808" width="9.42578125" style="211" customWidth="1"/>
    <col min="9809" max="9810" width="9.140625" style="211"/>
    <col min="9811" max="9811" width="10.5703125" style="211" customWidth="1"/>
    <col min="9812" max="9812" width="9.140625" style="211"/>
    <col min="9813" max="9813" width="4" style="211" customWidth="1"/>
    <col min="9814" max="9814" width="9.42578125" style="211" customWidth="1"/>
    <col min="9815" max="9816" width="9.140625" style="211"/>
    <col min="9817" max="9817" width="10.5703125" style="211" customWidth="1"/>
    <col min="9818" max="9818" width="9.140625" style="211"/>
    <col min="9819" max="9819" width="4" style="211" customWidth="1"/>
    <col min="9820" max="9820" width="9.42578125" style="211" customWidth="1"/>
    <col min="9821" max="9822" width="9.140625" style="211"/>
    <col min="9823" max="9823" width="10.5703125" style="211" customWidth="1"/>
    <col min="9824" max="9824" width="9.140625" style="211"/>
    <col min="9825" max="9825" width="4" style="211" customWidth="1"/>
    <col min="9826" max="9826" width="9.42578125" style="211" customWidth="1"/>
    <col min="9827" max="9828" width="9.140625" style="211"/>
    <col min="9829" max="9829" width="10.5703125" style="211" customWidth="1"/>
    <col min="9830" max="9830" width="9.140625" style="211"/>
    <col min="9831" max="9831" width="4" style="211" customWidth="1"/>
    <col min="9832" max="9832" width="12.42578125" style="211" customWidth="1"/>
    <col min="9833" max="9834" width="9.140625" style="211"/>
    <col min="9835" max="9835" width="10.5703125" style="211" customWidth="1"/>
    <col min="9836" max="9836" width="9.140625" style="211"/>
    <col min="9837" max="9837" width="4" style="211" customWidth="1"/>
    <col min="9838" max="9838" width="12.42578125" style="211" customWidth="1"/>
    <col min="9839" max="9840" width="9.140625" style="211"/>
    <col min="9841" max="9841" width="10.5703125" style="211" customWidth="1"/>
    <col min="9842" max="9842" width="9.140625" style="211"/>
    <col min="9843" max="9843" width="4" style="211" customWidth="1"/>
    <col min="9844" max="9844" width="12.42578125" style="211" customWidth="1"/>
    <col min="9845" max="9846" width="9.140625" style="211"/>
    <col min="9847" max="9847" width="10.5703125" style="211" customWidth="1"/>
    <col min="9848" max="9848" width="9.140625" style="211"/>
    <col min="9849" max="9849" width="4" style="211" customWidth="1"/>
    <col min="9850" max="9850" width="12.42578125" style="211" customWidth="1"/>
    <col min="9851" max="9852" width="9.140625" style="211"/>
    <col min="9853" max="9853" width="10.5703125" style="211" customWidth="1"/>
    <col min="9854" max="9854" width="9.140625" style="211"/>
    <col min="9855" max="9855" width="4" style="211" customWidth="1"/>
    <col min="9856" max="9856" width="12.42578125" style="211" customWidth="1"/>
    <col min="9857" max="9858" width="9.140625" style="211"/>
    <col min="9859" max="9859" width="10.5703125" style="211" customWidth="1"/>
    <col min="9860" max="9984" width="9.140625" style="211"/>
    <col min="9985" max="9985" width="2.7109375" style="211" customWidth="1"/>
    <col min="9986" max="9986" width="9.140625" style="211"/>
    <col min="9987" max="9987" width="9.42578125" style="211" customWidth="1"/>
    <col min="9988" max="9988" width="0" style="211" hidden="1" customWidth="1"/>
    <col min="9989" max="9989" width="9.140625" style="211"/>
    <col min="9990" max="9990" width="2.42578125" style="211" customWidth="1"/>
    <col min="9991" max="9991" width="9.140625" style="211"/>
    <col min="9992" max="9992" width="9.42578125" style="211" customWidth="1"/>
    <col min="9993" max="9993" width="0" style="211" hidden="1" customWidth="1"/>
    <col min="9994" max="9994" width="9.140625" style="211"/>
    <col min="9995" max="9995" width="2.28515625" style="211" customWidth="1"/>
    <col min="9996" max="9996" width="9.140625" style="211"/>
    <col min="9997" max="9997" width="9.42578125" style="211" customWidth="1"/>
    <col min="9998" max="9998" width="0" style="211" hidden="1" customWidth="1"/>
    <col min="9999" max="9999" width="9.140625" style="211"/>
    <col min="10000" max="10000" width="2.5703125" style="211" customWidth="1"/>
    <col min="10001" max="10001" width="9.140625" style="211"/>
    <col min="10002" max="10002" width="9.5703125" style="211" customWidth="1"/>
    <col min="10003" max="10003" width="0" style="211" hidden="1" customWidth="1"/>
    <col min="10004" max="10004" width="9.140625" style="211"/>
    <col min="10005" max="10005" width="2.7109375" style="211" customWidth="1"/>
    <col min="10006" max="10007" width="9.140625" style="211"/>
    <col min="10008" max="10008" width="3.140625" style="211" customWidth="1"/>
    <col min="10009" max="10009" width="4" style="211" customWidth="1"/>
    <col min="10010" max="10010" width="9.42578125" style="211" customWidth="1"/>
    <col min="10011" max="10012" width="9.140625" style="211"/>
    <col min="10013" max="10013" width="10.5703125" style="211" customWidth="1"/>
    <col min="10014" max="10014" width="9.140625" style="211"/>
    <col min="10015" max="10015" width="4" style="211" customWidth="1"/>
    <col min="10016" max="10016" width="9.42578125" style="211" customWidth="1"/>
    <col min="10017" max="10018" width="9.140625" style="211"/>
    <col min="10019" max="10019" width="10.5703125" style="211" customWidth="1"/>
    <col min="10020" max="10020" width="9.140625" style="211"/>
    <col min="10021" max="10021" width="4" style="211" customWidth="1"/>
    <col min="10022" max="10022" width="9.42578125" style="211" customWidth="1"/>
    <col min="10023" max="10024" width="9.140625" style="211"/>
    <col min="10025" max="10025" width="10.5703125" style="211" customWidth="1"/>
    <col min="10026" max="10026" width="9.140625" style="211"/>
    <col min="10027" max="10027" width="4" style="211" customWidth="1"/>
    <col min="10028" max="10028" width="9.42578125" style="211" customWidth="1"/>
    <col min="10029" max="10030" width="9.140625" style="211"/>
    <col min="10031" max="10031" width="10.5703125" style="211" customWidth="1"/>
    <col min="10032" max="10032" width="9.140625" style="211"/>
    <col min="10033" max="10033" width="4" style="211" customWidth="1"/>
    <col min="10034" max="10034" width="9.42578125" style="211" customWidth="1"/>
    <col min="10035" max="10036" width="9.140625" style="211"/>
    <col min="10037" max="10037" width="10.5703125" style="211" customWidth="1"/>
    <col min="10038" max="10038" width="9.140625" style="211"/>
    <col min="10039" max="10039" width="4" style="211" customWidth="1"/>
    <col min="10040" max="10040" width="9.42578125" style="211" customWidth="1"/>
    <col min="10041" max="10042" width="9.140625" style="211"/>
    <col min="10043" max="10043" width="10.5703125" style="211" customWidth="1"/>
    <col min="10044" max="10044" width="9.140625" style="211"/>
    <col min="10045" max="10045" width="4" style="211" customWidth="1"/>
    <col min="10046" max="10046" width="9.42578125" style="211" customWidth="1"/>
    <col min="10047" max="10048" width="9.140625" style="211"/>
    <col min="10049" max="10049" width="10.5703125" style="211" customWidth="1"/>
    <col min="10050" max="10050" width="9.140625" style="211"/>
    <col min="10051" max="10051" width="4" style="211" customWidth="1"/>
    <col min="10052" max="10052" width="9.42578125" style="211" customWidth="1"/>
    <col min="10053" max="10054" width="9.140625" style="211"/>
    <col min="10055" max="10055" width="10.5703125" style="211" customWidth="1"/>
    <col min="10056" max="10056" width="9.140625" style="211"/>
    <col min="10057" max="10057" width="4" style="211" customWidth="1"/>
    <col min="10058" max="10058" width="9.42578125" style="211" customWidth="1"/>
    <col min="10059" max="10060" width="9.140625" style="211"/>
    <col min="10061" max="10061" width="10.5703125" style="211" customWidth="1"/>
    <col min="10062" max="10062" width="9.140625" style="211"/>
    <col min="10063" max="10063" width="4" style="211" customWidth="1"/>
    <col min="10064" max="10064" width="9.42578125" style="211" customWidth="1"/>
    <col min="10065" max="10066" width="9.140625" style="211"/>
    <col min="10067" max="10067" width="10.5703125" style="211" customWidth="1"/>
    <col min="10068" max="10068" width="9.140625" style="211"/>
    <col min="10069" max="10069" width="4" style="211" customWidth="1"/>
    <col min="10070" max="10070" width="9.42578125" style="211" customWidth="1"/>
    <col min="10071" max="10072" width="9.140625" style="211"/>
    <col min="10073" max="10073" width="10.5703125" style="211" customWidth="1"/>
    <col min="10074" max="10074" width="9.140625" style="211"/>
    <col min="10075" max="10075" width="4" style="211" customWidth="1"/>
    <col min="10076" max="10076" width="9.42578125" style="211" customWidth="1"/>
    <col min="10077" max="10078" width="9.140625" style="211"/>
    <col min="10079" max="10079" width="10.5703125" style="211" customWidth="1"/>
    <col min="10080" max="10080" width="9.140625" style="211"/>
    <col min="10081" max="10081" width="4" style="211" customWidth="1"/>
    <col min="10082" max="10082" width="9.42578125" style="211" customWidth="1"/>
    <col min="10083" max="10084" width="9.140625" style="211"/>
    <col min="10085" max="10085" width="10.5703125" style="211" customWidth="1"/>
    <col min="10086" max="10086" width="9.140625" style="211"/>
    <col min="10087" max="10087" width="4" style="211" customWidth="1"/>
    <col min="10088" max="10088" width="12.42578125" style="211" customWidth="1"/>
    <col min="10089" max="10090" width="9.140625" style="211"/>
    <col min="10091" max="10091" width="10.5703125" style="211" customWidth="1"/>
    <col min="10092" max="10092" width="9.140625" style="211"/>
    <col min="10093" max="10093" width="4" style="211" customWidth="1"/>
    <col min="10094" max="10094" width="12.42578125" style="211" customWidth="1"/>
    <col min="10095" max="10096" width="9.140625" style="211"/>
    <col min="10097" max="10097" width="10.5703125" style="211" customWidth="1"/>
    <col min="10098" max="10098" width="9.140625" style="211"/>
    <col min="10099" max="10099" width="4" style="211" customWidth="1"/>
    <col min="10100" max="10100" width="12.42578125" style="211" customWidth="1"/>
    <col min="10101" max="10102" width="9.140625" style="211"/>
    <col min="10103" max="10103" width="10.5703125" style="211" customWidth="1"/>
    <col min="10104" max="10104" width="9.140625" style="211"/>
    <col min="10105" max="10105" width="4" style="211" customWidth="1"/>
    <col min="10106" max="10106" width="12.42578125" style="211" customWidth="1"/>
    <col min="10107" max="10108" width="9.140625" style="211"/>
    <col min="10109" max="10109" width="10.5703125" style="211" customWidth="1"/>
    <col min="10110" max="10110" width="9.140625" style="211"/>
    <col min="10111" max="10111" width="4" style="211" customWidth="1"/>
    <col min="10112" max="10112" width="12.42578125" style="211" customWidth="1"/>
    <col min="10113" max="10114" width="9.140625" style="211"/>
    <col min="10115" max="10115" width="10.5703125" style="211" customWidth="1"/>
    <col min="10116" max="10240" width="9.140625" style="211"/>
    <col min="10241" max="10241" width="2.7109375" style="211" customWidth="1"/>
    <col min="10242" max="10242" width="9.140625" style="211"/>
    <col min="10243" max="10243" width="9.42578125" style="211" customWidth="1"/>
    <col min="10244" max="10244" width="0" style="211" hidden="1" customWidth="1"/>
    <col min="10245" max="10245" width="9.140625" style="211"/>
    <col min="10246" max="10246" width="2.42578125" style="211" customWidth="1"/>
    <col min="10247" max="10247" width="9.140625" style="211"/>
    <col min="10248" max="10248" width="9.42578125" style="211" customWidth="1"/>
    <col min="10249" max="10249" width="0" style="211" hidden="1" customWidth="1"/>
    <col min="10250" max="10250" width="9.140625" style="211"/>
    <col min="10251" max="10251" width="2.28515625" style="211" customWidth="1"/>
    <col min="10252" max="10252" width="9.140625" style="211"/>
    <col min="10253" max="10253" width="9.42578125" style="211" customWidth="1"/>
    <col min="10254" max="10254" width="0" style="211" hidden="1" customWidth="1"/>
    <col min="10255" max="10255" width="9.140625" style="211"/>
    <col min="10256" max="10256" width="2.5703125" style="211" customWidth="1"/>
    <col min="10257" max="10257" width="9.140625" style="211"/>
    <col min="10258" max="10258" width="9.5703125" style="211" customWidth="1"/>
    <col min="10259" max="10259" width="0" style="211" hidden="1" customWidth="1"/>
    <col min="10260" max="10260" width="9.140625" style="211"/>
    <col min="10261" max="10261" width="2.7109375" style="211" customWidth="1"/>
    <col min="10262" max="10263" width="9.140625" style="211"/>
    <col min="10264" max="10264" width="3.140625" style="211" customWidth="1"/>
    <col min="10265" max="10265" width="4" style="211" customWidth="1"/>
    <col min="10266" max="10266" width="9.42578125" style="211" customWidth="1"/>
    <col min="10267" max="10268" width="9.140625" style="211"/>
    <col min="10269" max="10269" width="10.5703125" style="211" customWidth="1"/>
    <col min="10270" max="10270" width="9.140625" style="211"/>
    <col min="10271" max="10271" width="4" style="211" customWidth="1"/>
    <col min="10272" max="10272" width="9.42578125" style="211" customWidth="1"/>
    <col min="10273" max="10274" width="9.140625" style="211"/>
    <col min="10275" max="10275" width="10.5703125" style="211" customWidth="1"/>
    <col min="10276" max="10276" width="9.140625" style="211"/>
    <col min="10277" max="10277" width="4" style="211" customWidth="1"/>
    <col min="10278" max="10278" width="9.42578125" style="211" customWidth="1"/>
    <col min="10279" max="10280" width="9.140625" style="211"/>
    <col min="10281" max="10281" width="10.5703125" style="211" customWidth="1"/>
    <col min="10282" max="10282" width="9.140625" style="211"/>
    <col min="10283" max="10283" width="4" style="211" customWidth="1"/>
    <col min="10284" max="10284" width="9.42578125" style="211" customWidth="1"/>
    <col min="10285" max="10286" width="9.140625" style="211"/>
    <col min="10287" max="10287" width="10.5703125" style="211" customWidth="1"/>
    <col min="10288" max="10288" width="9.140625" style="211"/>
    <col min="10289" max="10289" width="4" style="211" customWidth="1"/>
    <col min="10290" max="10290" width="9.42578125" style="211" customWidth="1"/>
    <col min="10291" max="10292" width="9.140625" style="211"/>
    <col min="10293" max="10293" width="10.5703125" style="211" customWidth="1"/>
    <col min="10294" max="10294" width="9.140625" style="211"/>
    <col min="10295" max="10295" width="4" style="211" customWidth="1"/>
    <col min="10296" max="10296" width="9.42578125" style="211" customWidth="1"/>
    <col min="10297" max="10298" width="9.140625" style="211"/>
    <col min="10299" max="10299" width="10.5703125" style="211" customWidth="1"/>
    <col min="10300" max="10300" width="9.140625" style="211"/>
    <col min="10301" max="10301" width="4" style="211" customWidth="1"/>
    <col min="10302" max="10302" width="9.42578125" style="211" customWidth="1"/>
    <col min="10303" max="10304" width="9.140625" style="211"/>
    <col min="10305" max="10305" width="10.5703125" style="211" customWidth="1"/>
    <col min="10306" max="10306" width="9.140625" style="211"/>
    <col min="10307" max="10307" width="4" style="211" customWidth="1"/>
    <col min="10308" max="10308" width="9.42578125" style="211" customWidth="1"/>
    <col min="10309" max="10310" width="9.140625" style="211"/>
    <col min="10311" max="10311" width="10.5703125" style="211" customWidth="1"/>
    <col min="10312" max="10312" width="9.140625" style="211"/>
    <col min="10313" max="10313" width="4" style="211" customWidth="1"/>
    <col min="10314" max="10314" width="9.42578125" style="211" customWidth="1"/>
    <col min="10315" max="10316" width="9.140625" style="211"/>
    <col min="10317" max="10317" width="10.5703125" style="211" customWidth="1"/>
    <col min="10318" max="10318" width="9.140625" style="211"/>
    <col min="10319" max="10319" width="4" style="211" customWidth="1"/>
    <col min="10320" max="10320" width="9.42578125" style="211" customWidth="1"/>
    <col min="10321" max="10322" width="9.140625" style="211"/>
    <col min="10323" max="10323" width="10.5703125" style="211" customWidth="1"/>
    <col min="10324" max="10324" width="9.140625" style="211"/>
    <col min="10325" max="10325" width="4" style="211" customWidth="1"/>
    <col min="10326" max="10326" width="9.42578125" style="211" customWidth="1"/>
    <col min="10327" max="10328" width="9.140625" style="211"/>
    <col min="10329" max="10329" width="10.5703125" style="211" customWidth="1"/>
    <col min="10330" max="10330" width="9.140625" style="211"/>
    <col min="10331" max="10331" width="4" style="211" customWidth="1"/>
    <col min="10332" max="10332" width="9.42578125" style="211" customWidth="1"/>
    <col min="10333" max="10334" width="9.140625" style="211"/>
    <col min="10335" max="10335" width="10.5703125" style="211" customWidth="1"/>
    <col min="10336" max="10336" width="9.140625" style="211"/>
    <col min="10337" max="10337" width="4" style="211" customWidth="1"/>
    <col min="10338" max="10338" width="9.42578125" style="211" customWidth="1"/>
    <col min="10339" max="10340" width="9.140625" style="211"/>
    <col min="10341" max="10341" width="10.5703125" style="211" customWidth="1"/>
    <col min="10342" max="10342" width="9.140625" style="211"/>
    <col min="10343" max="10343" width="4" style="211" customWidth="1"/>
    <col min="10344" max="10344" width="12.42578125" style="211" customWidth="1"/>
    <col min="10345" max="10346" width="9.140625" style="211"/>
    <col min="10347" max="10347" width="10.5703125" style="211" customWidth="1"/>
    <col min="10348" max="10348" width="9.140625" style="211"/>
    <col min="10349" max="10349" width="4" style="211" customWidth="1"/>
    <col min="10350" max="10350" width="12.42578125" style="211" customWidth="1"/>
    <col min="10351" max="10352" width="9.140625" style="211"/>
    <col min="10353" max="10353" width="10.5703125" style="211" customWidth="1"/>
    <col min="10354" max="10354" width="9.140625" style="211"/>
    <col min="10355" max="10355" width="4" style="211" customWidth="1"/>
    <col min="10356" max="10356" width="12.42578125" style="211" customWidth="1"/>
    <col min="10357" max="10358" width="9.140625" style="211"/>
    <col min="10359" max="10359" width="10.5703125" style="211" customWidth="1"/>
    <col min="10360" max="10360" width="9.140625" style="211"/>
    <col min="10361" max="10361" width="4" style="211" customWidth="1"/>
    <col min="10362" max="10362" width="12.42578125" style="211" customWidth="1"/>
    <col min="10363" max="10364" width="9.140625" style="211"/>
    <col min="10365" max="10365" width="10.5703125" style="211" customWidth="1"/>
    <col min="10366" max="10366" width="9.140625" style="211"/>
    <col min="10367" max="10367" width="4" style="211" customWidth="1"/>
    <col min="10368" max="10368" width="12.42578125" style="211" customWidth="1"/>
    <col min="10369" max="10370" width="9.140625" style="211"/>
    <col min="10371" max="10371" width="10.5703125" style="211" customWidth="1"/>
    <col min="10372" max="10496" width="9.140625" style="211"/>
    <col min="10497" max="10497" width="2.7109375" style="211" customWidth="1"/>
    <col min="10498" max="10498" width="9.140625" style="211"/>
    <col min="10499" max="10499" width="9.42578125" style="211" customWidth="1"/>
    <col min="10500" max="10500" width="0" style="211" hidden="1" customWidth="1"/>
    <col min="10501" max="10501" width="9.140625" style="211"/>
    <col min="10502" max="10502" width="2.42578125" style="211" customWidth="1"/>
    <col min="10503" max="10503" width="9.140625" style="211"/>
    <col min="10504" max="10504" width="9.42578125" style="211" customWidth="1"/>
    <col min="10505" max="10505" width="0" style="211" hidden="1" customWidth="1"/>
    <col min="10506" max="10506" width="9.140625" style="211"/>
    <col min="10507" max="10507" width="2.28515625" style="211" customWidth="1"/>
    <col min="10508" max="10508" width="9.140625" style="211"/>
    <col min="10509" max="10509" width="9.42578125" style="211" customWidth="1"/>
    <col min="10510" max="10510" width="0" style="211" hidden="1" customWidth="1"/>
    <col min="10511" max="10511" width="9.140625" style="211"/>
    <col min="10512" max="10512" width="2.5703125" style="211" customWidth="1"/>
    <col min="10513" max="10513" width="9.140625" style="211"/>
    <col min="10514" max="10514" width="9.5703125" style="211" customWidth="1"/>
    <col min="10515" max="10515" width="0" style="211" hidden="1" customWidth="1"/>
    <col min="10516" max="10516" width="9.140625" style="211"/>
    <col min="10517" max="10517" width="2.7109375" style="211" customWidth="1"/>
    <col min="10518" max="10519" width="9.140625" style="211"/>
    <col min="10520" max="10520" width="3.140625" style="211" customWidth="1"/>
    <col min="10521" max="10521" width="4" style="211" customWidth="1"/>
    <col min="10522" max="10522" width="9.42578125" style="211" customWidth="1"/>
    <col min="10523" max="10524" width="9.140625" style="211"/>
    <col min="10525" max="10525" width="10.5703125" style="211" customWidth="1"/>
    <col min="10526" max="10526" width="9.140625" style="211"/>
    <col min="10527" max="10527" width="4" style="211" customWidth="1"/>
    <col min="10528" max="10528" width="9.42578125" style="211" customWidth="1"/>
    <col min="10529" max="10530" width="9.140625" style="211"/>
    <col min="10531" max="10531" width="10.5703125" style="211" customWidth="1"/>
    <col min="10532" max="10532" width="9.140625" style="211"/>
    <col min="10533" max="10533" width="4" style="211" customWidth="1"/>
    <col min="10534" max="10534" width="9.42578125" style="211" customWidth="1"/>
    <col min="10535" max="10536" width="9.140625" style="211"/>
    <col min="10537" max="10537" width="10.5703125" style="211" customWidth="1"/>
    <col min="10538" max="10538" width="9.140625" style="211"/>
    <col min="10539" max="10539" width="4" style="211" customWidth="1"/>
    <col min="10540" max="10540" width="9.42578125" style="211" customWidth="1"/>
    <col min="10541" max="10542" width="9.140625" style="211"/>
    <col min="10543" max="10543" width="10.5703125" style="211" customWidth="1"/>
    <col min="10544" max="10544" width="9.140625" style="211"/>
    <col min="10545" max="10545" width="4" style="211" customWidth="1"/>
    <col min="10546" max="10546" width="9.42578125" style="211" customWidth="1"/>
    <col min="10547" max="10548" width="9.140625" style="211"/>
    <col min="10549" max="10549" width="10.5703125" style="211" customWidth="1"/>
    <col min="10550" max="10550" width="9.140625" style="211"/>
    <col min="10551" max="10551" width="4" style="211" customWidth="1"/>
    <col min="10552" max="10552" width="9.42578125" style="211" customWidth="1"/>
    <col min="10553" max="10554" width="9.140625" style="211"/>
    <col min="10555" max="10555" width="10.5703125" style="211" customWidth="1"/>
    <col min="10556" max="10556" width="9.140625" style="211"/>
    <col min="10557" max="10557" width="4" style="211" customWidth="1"/>
    <col min="10558" max="10558" width="9.42578125" style="211" customWidth="1"/>
    <col min="10559" max="10560" width="9.140625" style="211"/>
    <col min="10561" max="10561" width="10.5703125" style="211" customWidth="1"/>
    <col min="10562" max="10562" width="9.140625" style="211"/>
    <col min="10563" max="10563" width="4" style="211" customWidth="1"/>
    <col min="10564" max="10564" width="9.42578125" style="211" customWidth="1"/>
    <col min="10565" max="10566" width="9.140625" style="211"/>
    <col min="10567" max="10567" width="10.5703125" style="211" customWidth="1"/>
    <col min="10568" max="10568" width="9.140625" style="211"/>
    <col min="10569" max="10569" width="4" style="211" customWidth="1"/>
    <col min="10570" max="10570" width="9.42578125" style="211" customWidth="1"/>
    <col min="10571" max="10572" width="9.140625" style="211"/>
    <col min="10573" max="10573" width="10.5703125" style="211" customWidth="1"/>
    <col min="10574" max="10574" width="9.140625" style="211"/>
    <col min="10575" max="10575" width="4" style="211" customWidth="1"/>
    <col min="10576" max="10576" width="9.42578125" style="211" customWidth="1"/>
    <col min="10577" max="10578" width="9.140625" style="211"/>
    <col min="10579" max="10579" width="10.5703125" style="211" customWidth="1"/>
    <col min="10580" max="10580" width="9.140625" style="211"/>
    <col min="10581" max="10581" width="4" style="211" customWidth="1"/>
    <col min="10582" max="10582" width="9.42578125" style="211" customWidth="1"/>
    <col min="10583" max="10584" width="9.140625" style="211"/>
    <col min="10585" max="10585" width="10.5703125" style="211" customWidth="1"/>
    <col min="10586" max="10586" width="9.140625" style="211"/>
    <col min="10587" max="10587" width="4" style="211" customWidth="1"/>
    <col min="10588" max="10588" width="9.42578125" style="211" customWidth="1"/>
    <col min="10589" max="10590" width="9.140625" style="211"/>
    <col min="10591" max="10591" width="10.5703125" style="211" customWidth="1"/>
    <col min="10592" max="10592" width="9.140625" style="211"/>
    <col min="10593" max="10593" width="4" style="211" customWidth="1"/>
    <col min="10594" max="10594" width="9.42578125" style="211" customWidth="1"/>
    <col min="10595" max="10596" width="9.140625" style="211"/>
    <col min="10597" max="10597" width="10.5703125" style="211" customWidth="1"/>
    <col min="10598" max="10598" width="9.140625" style="211"/>
    <col min="10599" max="10599" width="4" style="211" customWidth="1"/>
    <col min="10600" max="10600" width="12.42578125" style="211" customWidth="1"/>
    <col min="10601" max="10602" width="9.140625" style="211"/>
    <col min="10603" max="10603" width="10.5703125" style="211" customWidth="1"/>
    <col min="10604" max="10604" width="9.140625" style="211"/>
    <col min="10605" max="10605" width="4" style="211" customWidth="1"/>
    <col min="10606" max="10606" width="12.42578125" style="211" customWidth="1"/>
    <col min="10607" max="10608" width="9.140625" style="211"/>
    <col min="10609" max="10609" width="10.5703125" style="211" customWidth="1"/>
    <col min="10610" max="10610" width="9.140625" style="211"/>
    <col min="10611" max="10611" width="4" style="211" customWidth="1"/>
    <col min="10612" max="10612" width="12.42578125" style="211" customWidth="1"/>
    <col min="10613" max="10614" width="9.140625" style="211"/>
    <col min="10615" max="10615" width="10.5703125" style="211" customWidth="1"/>
    <col min="10616" max="10616" width="9.140625" style="211"/>
    <col min="10617" max="10617" width="4" style="211" customWidth="1"/>
    <col min="10618" max="10618" width="12.42578125" style="211" customWidth="1"/>
    <col min="10619" max="10620" width="9.140625" style="211"/>
    <col min="10621" max="10621" width="10.5703125" style="211" customWidth="1"/>
    <col min="10622" max="10622" width="9.140625" style="211"/>
    <col min="10623" max="10623" width="4" style="211" customWidth="1"/>
    <col min="10624" max="10624" width="12.42578125" style="211" customWidth="1"/>
    <col min="10625" max="10626" width="9.140625" style="211"/>
    <col min="10627" max="10627" width="10.5703125" style="211" customWidth="1"/>
    <col min="10628" max="10752" width="9.140625" style="211"/>
    <col min="10753" max="10753" width="2.7109375" style="211" customWidth="1"/>
    <col min="10754" max="10754" width="9.140625" style="211"/>
    <col min="10755" max="10755" width="9.42578125" style="211" customWidth="1"/>
    <col min="10756" max="10756" width="0" style="211" hidden="1" customWidth="1"/>
    <col min="10757" max="10757" width="9.140625" style="211"/>
    <col min="10758" max="10758" width="2.42578125" style="211" customWidth="1"/>
    <col min="10759" max="10759" width="9.140625" style="211"/>
    <col min="10760" max="10760" width="9.42578125" style="211" customWidth="1"/>
    <col min="10761" max="10761" width="0" style="211" hidden="1" customWidth="1"/>
    <col min="10762" max="10762" width="9.140625" style="211"/>
    <col min="10763" max="10763" width="2.28515625" style="211" customWidth="1"/>
    <col min="10764" max="10764" width="9.140625" style="211"/>
    <col min="10765" max="10765" width="9.42578125" style="211" customWidth="1"/>
    <col min="10766" max="10766" width="0" style="211" hidden="1" customWidth="1"/>
    <col min="10767" max="10767" width="9.140625" style="211"/>
    <col min="10768" max="10768" width="2.5703125" style="211" customWidth="1"/>
    <col min="10769" max="10769" width="9.140625" style="211"/>
    <col min="10770" max="10770" width="9.5703125" style="211" customWidth="1"/>
    <col min="10771" max="10771" width="0" style="211" hidden="1" customWidth="1"/>
    <col min="10772" max="10772" width="9.140625" style="211"/>
    <col min="10773" max="10773" width="2.7109375" style="211" customWidth="1"/>
    <col min="10774" max="10775" width="9.140625" style="211"/>
    <col min="10776" max="10776" width="3.140625" style="211" customWidth="1"/>
    <col min="10777" max="10777" width="4" style="211" customWidth="1"/>
    <col min="10778" max="10778" width="9.42578125" style="211" customWidth="1"/>
    <col min="10779" max="10780" width="9.140625" style="211"/>
    <col min="10781" max="10781" width="10.5703125" style="211" customWidth="1"/>
    <col min="10782" max="10782" width="9.140625" style="211"/>
    <col min="10783" max="10783" width="4" style="211" customWidth="1"/>
    <col min="10784" max="10784" width="9.42578125" style="211" customWidth="1"/>
    <col min="10785" max="10786" width="9.140625" style="211"/>
    <col min="10787" max="10787" width="10.5703125" style="211" customWidth="1"/>
    <col min="10788" max="10788" width="9.140625" style="211"/>
    <col min="10789" max="10789" width="4" style="211" customWidth="1"/>
    <col min="10790" max="10790" width="9.42578125" style="211" customWidth="1"/>
    <col min="10791" max="10792" width="9.140625" style="211"/>
    <col min="10793" max="10793" width="10.5703125" style="211" customWidth="1"/>
    <col min="10794" max="10794" width="9.140625" style="211"/>
    <col min="10795" max="10795" width="4" style="211" customWidth="1"/>
    <col min="10796" max="10796" width="9.42578125" style="211" customWidth="1"/>
    <col min="10797" max="10798" width="9.140625" style="211"/>
    <col min="10799" max="10799" width="10.5703125" style="211" customWidth="1"/>
    <col min="10800" max="10800" width="9.140625" style="211"/>
    <col min="10801" max="10801" width="4" style="211" customWidth="1"/>
    <col min="10802" max="10802" width="9.42578125" style="211" customWidth="1"/>
    <col min="10803" max="10804" width="9.140625" style="211"/>
    <col min="10805" max="10805" width="10.5703125" style="211" customWidth="1"/>
    <col min="10806" max="10806" width="9.140625" style="211"/>
    <col min="10807" max="10807" width="4" style="211" customWidth="1"/>
    <col min="10808" max="10808" width="9.42578125" style="211" customWidth="1"/>
    <col min="10809" max="10810" width="9.140625" style="211"/>
    <col min="10811" max="10811" width="10.5703125" style="211" customWidth="1"/>
    <col min="10812" max="10812" width="9.140625" style="211"/>
    <col min="10813" max="10813" width="4" style="211" customWidth="1"/>
    <col min="10814" max="10814" width="9.42578125" style="211" customWidth="1"/>
    <col min="10815" max="10816" width="9.140625" style="211"/>
    <col min="10817" max="10817" width="10.5703125" style="211" customWidth="1"/>
    <col min="10818" max="10818" width="9.140625" style="211"/>
    <col min="10819" max="10819" width="4" style="211" customWidth="1"/>
    <col min="10820" max="10820" width="9.42578125" style="211" customWidth="1"/>
    <col min="10821" max="10822" width="9.140625" style="211"/>
    <col min="10823" max="10823" width="10.5703125" style="211" customWidth="1"/>
    <col min="10824" max="10824" width="9.140625" style="211"/>
    <col min="10825" max="10825" width="4" style="211" customWidth="1"/>
    <col min="10826" max="10826" width="9.42578125" style="211" customWidth="1"/>
    <col min="10827" max="10828" width="9.140625" style="211"/>
    <col min="10829" max="10829" width="10.5703125" style="211" customWidth="1"/>
    <col min="10830" max="10830" width="9.140625" style="211"/>
    <col min="10831" max="10831" width="4" style="211" customWidth="1"/>
    <col min="10832" max="10832" width="9.42578125" style="211" customWidth="1"/>
    <col min="10833" max="10834" width="9.140625" style="211"/>
    <col min="10835" max="10835" width="10.5703125" style="211" customWidth="1"/>
    <col min="10836" max="10836" width="9.140625" style="211"/>
    <col min="10837" max="10837" width="4" style="211" customWidth="1"/>
    <col min="10838" max="10838" width="9.42578125" style="211" customWidth="1"/>
    <col min="10839" max="10840" width="9.140625" style="211"/>
    <col min="10841" max="10841" width="10.5703125" style="211" customWidth="1"/>
    <col min="10842" max="10842" width="9.140625" style="211"/>
    <col min="10843" max="10843" width="4" style="211" customWidth="1"/>
    <col min="10844" max="10844" width="9.42578125" style="211" customWidth="1"/>
    <col min="10845" max="10846" width="9.140625" style="211"/>
    <col min="10847" max="10847" width="10.5703125" style="211" customWidth="1"/>
    <col min="10848" max="10848" width="9.140625" style="211"/>
    <col min="10849" max="10849" width="4" style="211" customWidth="1"/>
    <col min="10850" max="10850" width="9.42578125" style="211" customWidth="1"/>
    <col min="10851" max="10852" width="9.140625" style="211"/>
    <col min="10853" max="10853" width="10.5703125" style="211" customWidth="1"/>
    <col min="10854" max="10854" width="9.140625" style="211"/>
    <col min="10855" max="10855" width="4" style="211" customWidth="1"/>
    <col min="10856" max="10856" width="12.42578125" style="211" customWidth="1"/>
    <col min="10857" max="10858" width="9.140625" style="211"/>
    <col min="10859" max="10859" width="10.5703125" style="211" customWidth="1"/>
    <col min="10860" max="10860" width="9.140625" style="211"/>
    <col min="10861" max="10861" width="4" style="211" customWidth="1"/>
    <col min="10862" max="10862" width="12.42578125" style="211" customWidth="1"/>
    <col min="10863" max="10864" width="9.140625" style="211"/>
    <col min="10865" max="10865" width="10.5703125" style="211" customWidth="1"/>
    <col min="10866" max="10866" width="9.140625" style="211"/>
    <col min="10867" max="10867" width="4" style="211" customWidth="1"/>
    <col min="10868" max="10868" width="12.42578125" style="211" customWidth="1"/>
    <col min="10869" max="10870" width="9.140625" style="211"/>
    <col min="10871" max="10871" width="10.5703125" style="211" customWidth="1"/>
    <col min="10872" max="10872" width="9.140625" style="211"/>
    <col min="10873" max="10873" width="4" style="211" customWidth="1"/>
    <col min="10874" max="10874" width="12.42578125" style="211" customWidth="1"/>
    <col min="10875" max="10876" width="9.140625" style="211"/>
    <col min="10877" max="10877" width="10.5703125" style="211" customWidth="1"/>
    <col min="10878" max="10878" width="9.140625" style="211"/>
    <col min="10879" max="10879" width="4" style="211" customWidth="1"/>
    <col min="10880" max="10880" width="12.42578125" style="211" customWidth="1"/>
    <col min="10881" max="10882" width="9.140625" style="211"/>
    <col min="10883" max="10883" width="10.5703125" style="211" customWidth="1"/>
    <col min="10884" max="11008" width="9.140625" style="211"/>
    <col min="11009" max="11009" width="2.7109375" style="211" customWidth="1"/>
    <col min="11010" max="11010" width="9.140625" style="211"/>
    <col min="11011" max="11011" width="9.42578125" style="211" customWidth="1"/>
    <col min="11012" max="11012" width="0" style="211" hidden="1" customWidth="1"/>
    <col min="11013" max="11013" width="9.140625" style="211"/>
    <col min="11014" max="11014" width="2.42578125" style="211" customWidth="1"/>
    <col min="11015" max="11015" width="9.140625" style="211"/>
    <col min="11016" max="11016" width="9.42578125" style="211" customWidth="1"/>
    <col min="11017" max="11017" width="0" style="211" hidden="1" customWidth="1"/>
    <col min="11018" max="11018" width="9.140625" style="211"/>
    <col min="11019" max="11019" width="2.28515625" style="211" customWidth="1"/>
    <col min="11020" max="11020" width="9.140625" style="211"/>
    <col min="11021" max="11021" width="9.42578125" style="211" customWidth="1"/>
    <col min="11022" max="11022" width="0" style="211" hidden="1" customWidth="1"/>
    <col min="11023" max="11023" width="9.140625" style="211"/>
    <col min="11024" max="11024" width="2.5703125" style="211" customWidth="1"/>
    <col min="11025" max="11025" width="9.140625" style="211"/>
    <col min="11026" max="11026" width="9.5703125" style="211" customWidth="1"/>
    <col min="11027" max="11027" width="0" style="211" hidden="1" customWidth="1"/>
    <col min="11028" max="11028" width="9.140625" style="211"/>
    <col min="11029" max="11029" width="2.7109375" style="211" customWidth="1"/>
    <col min="11030" max="11031" width="9.140625" style="211"/>
    <col min="11032" max="11032" width="3.140625" style="211" customWidth="1"/>
    <col min="11033" max="11033" width="4" style="211" customWidth="1"/>
    <col min="11034" max="11034" width="9.42578125" style="211" customWidth="1"/>
    <col min="11035" max="11036" width="9.140625" style="211"/>
    <col min="11037" max="11037" width="10.5703125" style="211" customWidth="1"/>
    <col min="11038" max="11038" width="9.140625" style="211"/>
    <col min="11039" max="11039" width="4" style="211" customWidth="1"/>
    <col min="11040" max="11040" width="9.42578125" style="211" customWidth="1"/>
    <col min="11041" max="11042" width="9.140625" style="211"/>
    <col min="11043" max="11043" width="10.5703125" style="211" customWidth="1"/>
    <col min="11044" max="11044" width="9.140625" style="211"/>
    <col min="11045" max="11045" width="4" style="211" customWidth="1"/>
    <col min="11046" max="11046" width="9.42578125" style="211" customWidth="1"/>
    <col min="11047" max="11048" width="9.140625" style="211"/>
    <col min="11049" max="11049" width="10.5703125" style="211" customWidth="1"/>
    <col min="11050" max="11050" width="9.140625" style="211"/>
    <col min="11051" max="11051" width="4" style="211" customWidth="1"/>
    <col min="11052" max="11052" width="9.42578125" style="211" customWidth="1"/>
    <col min="11053" max="11054" width="9.140625" style="211"/>
    <col min="11055" max="11055" width="10.5703125" style="211" customWidth="1"/>
    <col min="11056" max="11056" width="9.140625" style="211"/>
    <col min="11057" max="11057" width="4" style="211" customWidth="1"/>
    <col min="11058" max="11058" width="9.42578125" style="211" customWidth="1"/>
    <col min="11059" max="11060" width="9.140625" style="211"/>
    <col min="11061" max="11061" width="10.5703125" style="211" customWidth="1"/>
    <col min="11062" max="11062" width="9.140625" style="211"/>
    <col min="11063" max="11063" width="4" style="211" customWidth="1"/>
    <col min="11064" max="11064" width="9.42578125" style="211" customWidth="1"/>
    <col min="11065" max="11066" width="9.140625" style="211"/>
    <col min="11067" max="11067" width="10.5703125" style="211" customWidth="1"/>
    <col min="11068" max="11068" width="9.140625" style="211"/>
    <col min="11069" max="11069" width="4" style="211" customWidth="1"/>
    <col min="11070" max="11070" width="9.42578125" style="211" customWidth="1"/>
    <col min="11071" max="11072" width="9.140625" style="211"/>
    <col min="11073" max="11073" width="10.5703125" style="211" customWidth="1"/>
    <col min="11074" max="11074" width="9.140625" style="211"/>
    <col min="11075" max="11075" width="4" style="211" customWidth="1"/>
    <col min="11076" max="11076" width="9.42578125" style="211" customWidth="1"/>
    <col min="11077" max="11078" width="9.140625" style="211"/>
    <col min="11079" max="11079" width="10.5703125" style="211" customWidth="1"/>
    <col min="11080" max="11080" width="9.140625" style="211"/>
    <col min="11081" max="11081" width="4" style="211" customWidth="1"/>
    <col min="11082" max="11082" width="9.42578125" style="211" customWidth="1"/>
    <col min="11083" max="11084" width="9.140625" style="211"/>
    <col min="11085" max="11085" width="10.5703125" style="211" customWidth="1"/>
    <col min="11086" max="11086" width="9.140625" style="211"/>
    <col min="11087" max="11087" width="4" style="211" customWidth="1"/>
    <col min="11088" max="11088" width="9.42578125" style="211" customWidth="1"/>
    <col min="11089" max="11090" width="9.140625" style="211"/>
    <col min="11091" max="11091" width="10.5703125" style="211" customWidth="1"/>
    <col min="11092" max="11092" width="9.140625" style="211"/>
    <col min="11093" max="11093" width="4" style="211" customWidth="1"/>
    <col min="11094" max="11094" width="9.42578125" style="211" customWidth="1"/>
    <col min="11095" max="11096" width="9.140625" style="211"/>
    <col min="11097" max="11097" width="10.5703125" style="211" customWidth="1"/>
    <col min="11098" max="11098" width="9.140625" style="211"/>
    <col min="11099" max="11099" width="4" style="211" customWidth="1"/>
    <col min="11100" max="11100" width="9.42578125" style="211" customWidth="1"/>
    <col min="11101" max="11102" width="9.140625" style="211"/>
    <col min="11103" max="11103" width="10.5703125" style="211" customWidth="1"/>
    <col min="11104" max="11104" width="9.140625" style="211"/>
    <col min="11105" max="11105" width="4" style="211" customWidth="1"/>
    <col min="11106" max="11106" width="9.42578125" style="211" customWidth="1"/>
    <col min="11107" max="11108" width="9.140625" style="211"/>
    <col min="11109" max="11109" width="10.5703125" style="211" customWidth="1"/>
    <col min="11110" max="11110" width="9.140625" style="211"/>
    <col min="11111" max="11111" width="4" style="211" customWidth="1"/>
    <col min="11112" max="11112" width="12.42578125" style="211" customWidth="1"/>
    <col min="11113" max="11114" width="9.140625" style="211"/>
    <col min="11115" max="11115" width="10.5703125" style="211" customWidth="1"/>
    <col min="11116" max="11116" width="9.140625" style="211"/>
    <col min="11117" max="11117" width="4" style="211" customWidth="1"/>
    <col min="11118" max="11118" width="12.42578125" style="211" customWidth="1"/>
    <col min="11119" max="11120" width="9.140625" style="211"/>
    <col min="11121" max="11121" width="10.5703125" style="211" customWidth="1"/>
    <col min="11122" max="11122" width="9.140625" style="211"/>
    <col min="11123" max="11123" width="4" style="211" customWidth="1"/>
    <col min="11124" max="11124" width="12.42578125" style="211" customWidth="1"/>
    <col min="11125" max="11126" width="9.140625" style="211"/>
    <col min="11127" max="11127" width="10.5703125" style="211" customWidth="1"/>
    <col min="11128" max="11128" width="9.140625" style="211"/>
    <col min="11129" max="11129" width="4" style="211" customWidth="1"/>
    <col min="11130" max="11130" width="12.42578125" style="211" customWidth="1"/>
    <col min="11131" max="11132" width="9.140625" style="211"/>
    <col min="11133" max="11133" width="10.5703125" style="211" customWidth="1"/>
    <col min="11134" max="11134" width="9.140625" style="211"/>
    <col min="11135" max="11135" width="4" style="211" customWidth="1"/>
    <col min="11136" max="11136" width="12.42578125" style="211" customWidth="1"/>
    <col min="11137" max="11138" width="9.140625" style="211"/>
    <col min="11139" max="11139" width="10.5703125" style="211" customWidth="1"/>
    <col min="11140" max="11264" width="9.140625" style="211"/>
    <col min="11265" max="11265" width="2.7109375" style="211" customWidth="1"/>
    <col min="11266" max="11266" width="9.140625" style="211"/>
    <col min="11267" max="11267" width="9.42578125" style="211" customWidth="1"/>
    <col min="11268" max="11268" width="0" style="211" hidden="1" customWidth="1"/>
    <col min="11269" max="11269" width="9.140625" style="211"/>
    <col min="11270" max="11270" width="2.42578125" style="211" customWidth="1"/>
    <col min="11271" max="11271" width="9.140625" style="211"/>
    <col min="11272" max="11272" width="9.42578125" style="211" customWidth="1"/>
    <col min="11273" max="11273" width="0" style="211" hidden="1" customWidth="1"/>
    <col min="11274" max="11274" width="9.140625" style="211"/>
    <col min="11275" max="11275" width="2.28515625" style="211" customWidth="1"/>
    <col min="11276" max="11276" width="9.140625" style="211"/>
    <col min="11277" max="11277" width="9.42578125" style="211" customWidth="1"/>
    <col min="11278" max="11278" width="0" style="211" hidden="1" customWidth="1"/>
    <col min="11279" max="11279" width="9.140625" style="211"/>
    <col min="11280" max="11280" width="2.5703125" style="211" customWidth="1"/>
    <col min="11281" max="11281" width="9.140625" style="211"/>
    <col min="11282" max="11282" width="9.5703125" style="211" customWidth="1"/>
    <col min="11283" max="11283" width="0" style="211" hidden="1" customWidth="1"/>
    <col min="11284" max="11284" width="9.140625" style="211"/>
    <col min="11285" max="11285" width="2.7109375" style="211" customWidth="1"/>
    <col min="11286" max="11287" width="9.140625" style="211"/>
    <col min="11288" max="11288" width="3.140625" style="211" customWidth="1"/>
    <col min="11289" max="11289" width="4" style="211" customWidth="1"/>
    <col min="11290" max="11290" width="9.42578125" style="211" customWidth="1"/>
    <col min="11291" max="11292" width="9.140625" style="211"/>
    <col min="11293" max="11293" width="10.5703125" style="211" customWidth="1"/>
    <col min="11294" max="11294" width="9.140625" style="211"/>
    <col min="11295" max="11295" width="4" style="211" customWidth="1"/>
    <col min="11296" max="11296" width="9.42578125" style="211" customWidth="1"/>
    <col min="11297" max="11298" width="9.140625" style="211"/>
    <col min="11299" max="11299" width="10.5703125" style="211" customWidth="1"/>
    <col min="11300" max="11300" width="9.140625" style="211"/>
    <col min="11301" max="11301" width="4" style="211" customWidth="1"/>
    <col min="11302" max="11302" width="9.42578125" style="211" customWidth="1"/>
    <col min="11303" max="11304" width="9.140625" style="211"/>
    <col min="11305" max="11305" width="10.5703125" style="211" customWidth="1"/>
    <col min="11306" max="11306" width="9.140625" style="211"/>
    <col min="11307" max="11307" width="4" style="211" customWidth="1"/>
    <col min="11308" max="11308" width="9.42578125" style="211" customWidth="1"/>
    <col min="11309" max="11310" width="9.140625" style="211"/>
    <col min="11311" max="11311" width="10.5703125" style="211" customWidth="1"/>
    <col min="11312" max="11312" width="9.140625" style="211"/>
    <col min="11313" max="11313" width="4" style="211" customWidth="1"/>
    <col min="11314" max="11314" width="9.42578125" style="211" customWidth="1"/>
    <col min="11315" max="11316" width="9.140625" style="211"/>
    <col min="11317" max="11317" width="10.5703125" style="211" customWidth="1"/>
    <col min="11318" max="11318" width="9.140625" style="211"/>
    <col min="11319" max="11319" width="4" style="211" customWidth="1"/>
    <col min="11320" max="11320" width="9.42578125" style="211" customWidth="1"/>
    <col min="11321" max="11322" width="9.140625" style="211"/>
    <col min="11323" max="11323" width="10.5703125" style="211" customWidth="1"/>
    <col min="11324" max="11324" width="9.140625" style="211"/>
    <col min="11325" max="11325" width="4" style="211" customWidth="1"/>
    <col min="11326" max="11326" width="9.42578125" style="211" customWidth="1"/>
    <col min="11327" max="11328" width="9.140625" style="211"/>
    <col min="11329" max="11329" width="10.5703125" style="211" customWidth="1"/>
    <col min="11330" max="11330" width="9.140625" style="211"/>
    <col min="11331" max="11331" width="4" style="211" customWidth="1"/>
    <col min="11332" max="11332" width="9.42578125" style="211" customWidth="1"/>
    <col min="11333" max="11334" width="9.140625" style="211"/>
    <col min="11335" max="11335" width="10.5703125" style="211" customWidth="1"/>
    <col min="11336" max="11336" width="9.140625" style="211"/>
    <col min="11337" max="11337" width="4" style="211" customWidth="1"/>
    <col min="11338" max="11338" width="9.42578125" style="211" customWidth="1"/>
    <col min="11339" max="11340" width="9.140625" style="211"/>
    <col min="11341" max="11341" width="10.5703125" style="211" customWidth="1"/>
    <col min="11342" max="11342" width="9.140625" style="211"/>
    <col min="11343" max="11343" width="4" style="211" customWidth="1"/>
    <col min="11344" max="11344" width="9.42578125" style="211" customWidth="1"/>
    <col min="11345" max="11346" width="9.140625" style="211"/>
    <col min="11347" max="11347" width="10.5703125" style="211" customWidth="1"/>
    <col min="11348" max="11348" width="9.140625" style="211"/>
    <col min="11349" max="11349" width="4" style="211" customWidth="1"/>
    <col min="11350" max="11350" width="9.42578125" style="211" customWidth="1"/>
    <col min="11351" max="11352" width="9.140625" style="211"/>
    <col min="11353" max="11353" width="10.5703125" style="211" customWidth="1"/>
    <col min="11354" max="11354" width="9.140625" style="211"/>
    <col min="11355" max="11355" width="4" style="211" customWidth="1"/>
    <col min="11356" max="11356" width="9.42578125" style="211" customWidth="1"/>
    <col min="11357" max="11358" width="9.140625" style="211"/>
    <col min="11359" max="11359" width="10.5703125" style="211" customWidth="1"/>
    <col min="11360" max="11360" width="9.140625" style="211"/>
    <col min="11361" max="11361" width="4" style="211" customWidth="1"/>
    <col min="11362" max="11362" width="9.42578125" style="211" customWidth="1"/>
    <col min="11363" max="11364" width="9.140625" style="211"/>
    <col min="11365" max="11365" width="10.5703125" style="211" customWidth="1"/>
    <col min="11366" max="11366" width="9.140625" style="211"/>
    <col min="11367" max="11367" width="4" style="211" customWidth="1"/>
    <col min="11368" max="11368" width="12.42578125" style="211" customWidth="1"/>
    <col min="11369" max="11370" width="9.140625" style="211"/>
    <col min="11371" max="11371" width="10.5703125" style="211" customWidth="1"/>
    <col min="11372" max="11372" width="9.140625" style="211"/>
    <col min="11373" max="11373" width="4" style="211" customWidth="1"/>
    <col min="11374" max="11374" width="12.42578125" style="211" customWidth="1"/>
    <col min="11375" max="11376" width="9.140625" style="211"/>
    <col min="11377" max="11377" width="10.5703125" style="211" customWidth="1"/>
    <col min="11378" max="11378" width="9.140625" style="211"/>
    <col min="11379" max="11379" width="4" style="211" customWidth="1"/>
    <col min="11380" max="11380" width="12.42578125" style="211" customWidth="1"/>
    <col min="11381" max="11382" width="9.140625" style="211"/>
    <col min="11383" max="11383" width="10.5703125" style="211" customWidth="1"/>
    <col min="11384" max="11384" width="9.140625" style="211"/>
    <col min="11385" max="11385" width="4" style="211" customWidth="1"/>
    <col min="11386" max="11386" width="12.42578125" style="211" customWidth="1"/>
    <col min="11387" max="11388" width="9.140625" style="211"/>
    <col min="11389" max="11389" width="10.5703125" style="211" customWidth="1"/>
    <col min="11390" max="11390" width="9.140625" style="211"/>
    <col min="11391" max="11391" width="4" style="211" customWidth="1"/>
    <col min="11392" max="11392" width="12.42578125" style="211" customWidth="1"/>
    <col min="11393" max="11394" width="9.140625" style="211"/>
    <col min="11395" max="11395" width="10.5703125" style="211" customWidth="1"/>
    <col min="11396" max="11520" width="9.140625" style="211"/>
    <col min="11521" max="11521" width="2.7109375" style="211" customWidth="1"/>
    <col min="11522" max="11522" width="9.140625" style="211"/>
    <col min="11523" max="11523" width="9.42578125" style="211" customWidth="1"/>
    <col min="11524" max="11524" width="0" style="211" hidden="1" customWidth="1"/>
    <col min="11525" max="11525" width="9.140625" style="211"/>
    <col min="11526" max="11526" width="2.42578125" style="211" customWidth="1"/>
    <col min="11527" max="11527" width="9.140625" style="211"/>
    <col min="11528" max="11528" width="9.42578125" style="211" customWidth="1"/>
    <col min="11529" max="11529" width="0" style="211" hidden="1" customWidth="1"/>
    <col min="11530" max="11530" width="9.140625" style="211"/>
    <col min="11531" max="11531" width="2.28515625" style="211" customWidth="1"/>
    <col min="11532" max="11532" width="9.140625" style="211"/>
    <col min="11533" max="11533" width="9.42578125" style="211" customWidth="1"/>
    <col min="11534" max="11534" width="0" style="211" hidden="1" customWidth="1"/>
    <col min="11535" max="11535" width="9.140625" style="211"/>
    <col min="11536" max="11536" width="2.5703125" style="211" customWidth="1"/>
    <col min="11537" max="11537" width="9.140625" style="211"/>
    <col min="11538" max="11538" width="9.5703125" style="211" customWidth="1"/>
    <col min="11539" max="11539" width="0" style="211" hidden="1" customWidth="1"/>
    <col min="11540" max="11540" width="9.140625" style="211"/>
    <col min="11541" max="11541" width="2.7109375" style="211" customWidth="1"/>
    <col min="11542" max="11543" width="9.140625" style="211"/>
    <col min="11544" max="11544" width="3.140625" style="211" customWidth="1"/>
    <col min="11545" max="11545" width="4" style="211" customWidth="1"/>
    <col min="11546" max="11546" width="9.42578125" style="211" customWidth="1"/>
    <col min="11547" max="11548" width="9.140625" style="211"/>
    <col min="11549" max="11549" width="10.5703125" style="211" customWidth="1"/>
    <col min="11550" max="11550" width="9.140625" style="211"/>
    <col min="11551" max="11551" width="4" style="211" customWidth="1"/>
    <col min="11552" max="11552" width="9.42578125" style="211" customWidth="1"/>
    <col min="11553" max="11554" width="9.140625" style="211"/>
    <col min="11555" max="11555" width="10.5703125" style="211" customWidth="1"/>
    <col min="11556" max="11556" width="9.140625" style="211"/>
    <col min="11557" max="11557" width="4" style="211" customWidth="1"/>
    <col min="11558" max="11558" width="9.42578125" style="211" customWidth="1"/>
    <col min="11559" max="11560" width="9.140625" style="211"/>
    <col min="11561" max="11561" width="10.5703125" style="211" customWidth="1"/>
    <col min="11562" max="11562" width="9.140625" style="211"/>
    <col min="11563" max="11563" width="4" style="211" customWidth="1"/>
    <col min="11564" max="11564" width="9.42578125" style="211" customWidth="1"/>
    <col min="11565" max="11566" width="9.140625" style="211"/>
    <col min="11567" max="11567" width="10.5703125" style="211" customWidth="1"/>
    <col min="11568" max="11568" width="9.140625" style="211"/>
    <col min="11569" max="11569" width="4" style="211" customWidth="1"/>
    <col min="11570" max="11570" width="9.42578125" style="211" customWidth="1"/>
    <col min="11571" max="11572" width="9.140625" style="211"/>
    <col min="11573" max="11573" width="10.5703125" style="211" customWidth="1"/>
    <col min="11574" max="11574" width="9.140625" style="211"/>
    <col min="11575" max="11575" width="4" style="211" customWidth="1"/>
    <col min="11576" max="11576" width="9.42578125" style="211" customWidth="1"/>
    <col min="11577" max="11578" width="9.140625" style="211"/>
    <col min="11579" max="11579" width="10.5703125" style="211" customWidth="1"/>
    <col min="11580" max="11580" width="9.140625" style="211"/>
    <col min="11581" max="11581" width="4" style="211" customWidth="1"/>
    <col min="11582" max="11582" width="9.42578125" style="211" customWidth="1"/>
    <col min="11583" max="11584" width="9.140625" style="211"/>
    <col min="11585" max="11585" width="10.5703125" style="211" customWidth="1"/>
    <col min="11586" max="11586" width="9.140625" style="211"/>
    <col min="11587" max="11587" width="4" style="211" customWidth="1"/>
    <col min="11588" max="11588" width="9.42578125" style="211" customWidth="1"/>
    <col min="11589" max="11590" width="9.140625" style="211"/>
    <col min="11591" max="11591" width="10.5703125" style="211" customWidth="1"/>
    <col min="11592" max="11592" width="9.140625" style="211"/>
    <col min="11593" max="11593" width="4" style="211" customWidth="1"/>
    <col min="11594" max="11594" width="9.42578125" style="211" customWidth="1"/>
    <col min="11595" max="11596" width="9.140625" style="211"/>
    <col min="11597" max="11597" width="10.5703125" style="211" customWidth="1"/>
    <col min="11598" max="11598" width="9.140625" style="211"/>
    <col min="11599" max="11599" width="4" style="211" customWidth="1"/>
    <col min="11600" max="11600" width="9.42578125" style="211" customWidth="1"/>
    <col min="11601" max="11602" width="9.140625" style="211"/>
    <col min="11603" max="11603" width="10.5703125" style="211" customWidth="1"/>
    <col min="11604" max="11604" width="9.140625" style="211"/>
    <col min="11605" max="11605" width="4" style="211" customWidth="1"/>
    <col min="11606" max="11606" width="9.42578125" style="211" customWidth="1"/>
    <col min="11607" max="11608" width="9.140625" style="211"/>
    <col min="11609" max="11609" width="10.5703125" style="211" customWidth="1"/>
    <col min="11610" max="11610" width="9.140625" style="211"/>
    <col min="11611" max="11611" width="4" style="211" customWidth="1"/>
    <col min="11612" max="11612" width="9.42578125" style="211" customWidth="1"/>
    <col min="11613" max="11614" width="9.140625" style="211"/>
    <col min="11615" max="11615" width="10.5703125" style="211" customWidth="1"/>
    <col min="11616" max="11616" width="9.140625" style="211"/>
    <col min="11617" max="11617" width="4" style="211" customWidth="1"/>
    <col min="11618" max="11618" width="9.42578125" style="211" customWidth="1"/>
    <col min="11619" max="11620" width="9.140625" style="211"/>
    <col min="11621" max="11621" width="10.5703125" style="211" customWidth="1"/>
    <col min="11622" max="11622" width="9.140625" style="211"/>
    <col min="11623" max="11623" width="4" style="211" customWidth="1"/>
    <col min="11624" max="11624" width="12.42578125" style="211" customWidth="1"/>
    <col min="11625" max="11626" width="9.140625" style="211"/>
    <col min="11627" max="11627" width="10.5703125" style="211" customWidth="1"/>
    <col min="11628" max="11628" width="9.140625" style="211"/>
    <col min="11629" max="11629" width="4" style="211" customWidth="1"/>
    <col min="11630" max="11630" width="12.42578125" style="211" customWidth="1"/>
    <col min="11631" max="11632" width="9.140625" style="211"/>
    <col min="11633" max="11633" width="10.5703125" style="211" customWidth="1"/>
    <col min="11634" max="11634" width="9.140625" style="211"/>
    <col min="11635" max="11635" width="4" style="211" customWidth="1"/>
    <col min="11636" max="11636" width="12.42578125" style="211" customWidth="1"/>
    <col min="11637" max="11638" width="9.140625" style="211"/>
    <col min="11639" max="11639" width="10.5703125" style="211" customWidth="1"/>
    <col min="11640" max="11640" width="9.140625" style="211"/>
    <col min="11641" max="11641" width="4" style="211" customWidth="1"/>
    <col min="11642" max="11642" width="12.42578125" style="211" customWidth="1"/>
    <col min="11643" max="11644" width="9.140625" style="211"/>
    <col min="11645" max="11645" width="10.5703125" style="211" customWidth="1"/>
    <col min="11646" max="11646" width="9.140625" style="211"/>
    <col min="11647" max="11647" width="4" style="211" customWidth="1"/>
    <col min="11648" max="11648" width="12.42578125" style="211" customWidth="1"/>
    <col min="11649" max="11650" width="9.140625" style="211"/>
    <col min="11651" max="11651" width="10.5703125" style="211" customWidth="1"/>
    <col min="11652" max="11776" width="9.140625" style="211"/>
    <col min="11777" max="11777" width="2.7109375" style="211" customWidth="1"/>
    <col min="11778" max="11778" width="9.140625" style="211"/>
    <col min="11779" max="11779" width="9.42578125" style="211" customWidth="1"/>
    <col min="11780" max="11780" width="0" style="211" hidden="1" customWidth="1"/>
    <col min="11781" max="11781" width="9.140625" style="211"/>
    <col min="11782" max="11782" width="2.42578125" style="211" customWidth="1"/>
    <col min="11783" max="11783" width="9.140625" style="211"/>
    <col min="11784" max="11784" width="9.42578125" style="211" customWidth="1"/>
    <col min="11785" max="11785" width="0" style="211" hidden="1" customWidth="1"/>
    <col min="11786" max="11786" width="9.140625" style="211"/>
    <col min="11787" max="11787" width="2.28515625" style="211" customWidth="1"/>
    <col min="11788" max="11788" width="9.140625" style="211"/>
    <col min="11789" max="11789" width="9.42578125" style="211" customWidth="1"/>
    <col min="11790" max="11790" width="0" style="211" hidden="1" customWidth="1"/>
    <col min="11791" max="11791" width="9.140625" style="211"/>
    <col min="11792" max="11792" width="2.5703125" style="211" customWidth="1"/>
    <col min="11793" max="11793" width="9.140625" style="211"/>
    <col min="11794" max="11794" width="9.5703125" style="211" customWidth="1"/>
    <col min="11795" max="11795" width="0" style="211" hidden="1" customWidth="1"/>
    <col min="11796" max="11796" width="9.140625" style="211"/>
    <col min="11797" max="11797" width="2.7109375" style="211" customWidth="1"/>
    <col min="11798" max="11799" width="9.140625" style="211"/>
    <col min="11800" max="11800" width="3.140625" style="211" customWidth="1"/>
    <col min="11801" max="11801" width="4" style="211" customWidth="1"/>
    <col min="11802" max="11802" width="9.42578125" style="211" customWidth="1"/>
    <col min="11803" max="11804" width="9.140625" style="211"/>
    <col min="11805" max="11805" width="10.5703125" style="211" customWidth="1"/>
    <col min="11806" max="11806" width="9.140625" style="211"/>
    <col min="11807" max="11807" width="4" style="211" customWidth="1"/>
    <col min="11808" max="11808" width="9.42578125" style="211" customWidth="1"/>
    <col min="11809" max="11810" width="9.140625" style="211"/>
    <col min="11811" max="11811" width="10.5703125" style="211" customWidth="1"/>
    <col min="11812" max="11812" width="9.140625" style="211"/>
    <col min="11813" max="11813" width="4" style="211" customWidth="1"/>
    <col min="11814" max="11814" width="9.42578125" style="211" customWidth="1"/>
    <col min="11815" max="11816" width="9.140625" style="211"/>
    <col min="11817" max="11817" width="10.5703125" style="211" customWidth="1"/>
    <col min="11818" max="11818" width="9.140625" style="211"/>
    <col min="11819" max="11819" width="4" style="211" customWidth="1"/>
    <col min="11820" max="11820" width="9.42578125" style="211" customWidth="1"/>
    <col min="11821" max="11822" width="9.140625" style="211"/>
    <col min="11823" max="11823" width="10.5703125" style="211" customWidth="1"/>
    <col min="11824" max="11824" width="9.140625" style="211"/>
    <col min="11825" max="11825" width="4" style="211" customWidth="1"/>
    <col min="11826" max="11826" width="9.42578125" style="211" customWidth="1"/>
    <col min="11827" max="11828" width="9.140625" style="211"/>
    <col min="11829" max="11829" width="10.5703125" style="211" customWidth="1"/>
    <col min="11830" max="11830" width="9.140625" style="211"/>
    <col min="11831" max="11831" width="4" style="211" customWidth="1"/>
    <col min="11832" max="11832" width="9.42578125" style="211" customWidth="1"/>
    <col min="11833" max="11834" width="9.140625" style="211"/>
    <col min="11835" max="11835" width="10.5703125" style="211" customWidth="1"/>
    <col min="11836" max="11836" width="9.140625" style="211"/>
    <col min="11837" max="11837" width="4" style="211" customWidth="1"/>
    <col min="11838" max="11838" width="9.42578125" style="211" customWidth="1"/>
    <col min="11839" max="11840" width="9.140625" style="211"/>
    <col min="11841" max="11841" width="10.5703125" style="211" customWidth="1"/>
    <col min="11842" max="11842" width="9.140625" style="211"/>
    <col min="11843" max="11843" width="4" style="211" customWidth="1"/>
    <col min="11844" max="11844" width="9.42578125" style="211" customWidth="1"/>
    <col min="11845" max="11846" width="9.140625" style="211"/>
    <col min="11847" max="11847" width="10.5703125" style="211" customWidth="1"/>
    <col min="11848" max="11848" width="9.140625" style="211"/>
    <col min="11849" max="11849" width="4" style="211" customWidth="1"/>
    <col min="11850" max="11850" width="9.42578125" style="211" customWidth="1"/>
    <col min="11851" max="11852" width="9.140625" style="211"/>
    <col min="11853" max="11853" width="10.5703125" style="211" customWidth="1"/>
    <col min="11854" max="11854" width="9.140625" style="211"/>
    <col min="11855" max="11855" width="4" style="211" customWidth="1"/>
    <col min="11856" max="11856" width="9.42578125" style="211" customWidth="1"/>
    <col min="11857" max="11858" width="9.140625" style="211"/>
    <col min="11859" max="11859" width="10.5703125" style="211" customWidth="1"/>
    <col min="11860" max="11860" width="9.140625" style="211"/>
    <col min="11861" max="11861" width="4" style="211" customWidth="1"/>
    <col min="11862" max="11862" width="9.42578125" style="211" customWidth="1"/>
    <col min="11863" max="11864" width="9.140625" style="211"/>
    <col min="11865" max="11865" width="10.5703125" style="211" customWidth="1"/>
    <col min="11866" max="11866" width="9.140625" style="211"/>
    <col min="11867" max="11867" width="4" style="211" customWidth="1"/>
    <col min="11868" max="11868" width="9.42578125" style="211" customWidth="1"/>
    <col min="11869" max="11870" width="9.140625" style="211"/>
    <col min="11871" max="11871" width="10.5703125" style="211" customWidth="1"/>
    <col min="11872" max="11872" width="9.140625" style="211"/>
    <col min="11873" max="11873" width="4" style="211" customWidth="1"/>
    <col min="11874" max="11874" width="9.42578125" style="211" customWidth="1"/>
    <col min="11875" max="11876" width="9.140625" style="211"/>
    <col min="11877" max="11877" width="10.5703125" style="211" customWidth="1"/>
    <col min="11878" max="11878" width="9.140625" style="211"/>
    <col min="11879" max="11879" width="4" style="211" customWidth="1"/>
    <col min="11880" max="11880" width="12.42578125" style="211" customWidth="1"/>
    <col min="11881" max="11882" width="9.140625" style="211"/>
    <col min="11883" max="11883" width="10.5703125" style="211" customWidth="1"/>
    <col min="11884" max="11884" width="9.140625" style="211"/>
    <col min="11885" max="11885" width="4" style="211" customWidth="1"/>
    <col min="11886" max="11886" width="12.42578125" style="211" customWidth="1"/>
    <col min="11887" max="11888" width="9.140625" style="211"/>
    <col min="11889" max="11889" width="10.5703125" style="211" customWidth="1"/>
    <col min="11890" max="11890" width="9.140625" style="211"/>
    <col min="11891" max="11891" width="4" style="211" customWidth="1"/>
    <col min="11892" max="11892" width="12.42578125" style="211" customWidth="1"/>
    <col min="11893" max="11894" width="9.140625" style="211"/>
    <col min="11895" max="11895" width="10.5703125" style="211" customWidth="1"/>
    <col min="11896" max="11896" width="9.140625" style="211"/>
    <col min="11897" max="11897" width="4" style="211" customWidth="1"/>
    <col min="11898" max="11898" width="12.42578125" style="211" customWidth="1"/>
    <col min="11899" max="11900" width="9.140625" style="211"/>
    <col min="11901" max="11901" width="10.5703125" style="211" customWidth="1"/>
    <col min="11902" max="11902" width="9.140625" style="211"/>
    <col min="11903" max="11903" width="4" style="211" customWidth="1"/>
    <col min="11904" max="11904" width="12.42578125" style="211" customWidth="1"/>
    <col min="11905" max="11906" width="9.140625" style="211"/>
    <col min="11907" max="11907" width="10.5703125" style="211" customWidth="1"/>
    <col min="11908" max="12032" width="9.140625" style="211"/>
    <col min="12033" max="12033" width="2.7109375" style="211" customWidth="1"/>
    <col min="12034" max="12034" width="9.140625" style="211"/>
    <col min="12035" max="12035" width="9.42578125" style="211" customWidth="1"/>
    <col min="12036" max="12036" width="0" style="211" hidden="1" customWidth="1"/>
    <col min="12037" max="12037" width="9.140625" style="211"/>
    <col min="12038" max="12038" width="2.42578125" style="211" customWidth="1"/>
    <col min="12039" max="12039" width="9.140625" style="211"/>
    <col min="12040" max="12040" width="9.42578125" style="211" customWidth="1"/>
    <col min="12041" max="12041" width="0" style="211" hidden="1" customWidth="1"/>
    <col min="12042" max="12042" width="9.140625" style="211"/>
    <col min="12043" max="12043" width="2.28515625" style="211" customWidth="1"/>
    <col min="12044" max="12044" width="9.140625" style="211"/>
    <col min="12045" max="12045" width="9.42578125" style="211" customWidth="1"/>
    <col min="12046" max="12046" width="0" style="211" hidden="1" customWidth="1"/>
    <col min="12047" max="12047" width="9.140625" style="211"/>
    <col min="12048" max="12048" width="2.5703125" style="211" customWidth="1"/>
    <col min="12049" max="12049" width="9.140625" style="211"/>
    <col min="12050" max="12050" width="9.5703125" style="211" customWidth="1"/>
    <col min="12051" max="12051" width="0" style="211" hidden="1" customWidth="1"/>
    <col min="12052" max="12052" width="9.140625" style="211"/>
    <col min="12053" max="12053" width="2.7109375" style="211" customWidth="1"/>
    <col min="12054" max="12055" width="9.140625" style="211"/>
    <col min="12056" max="12056" width="3.140625" style="211" customWidth="1"/>
    <col min="12057" max="12057" width="4" style="211" customWidth="1"/>
    <col min="12058" max="12058" width="9.42578125" style="211" customWidth="1"/>
    <col min="12059" max="12060" width="9.140625" style="211"/>
    <col min="12061" max="12061" width="10.5703125" style="211" customWidth="1"/>
    <col min="12062" max="12062" width="9.140625" style="211"/>
    <col min="12063" max="12063" width="4" style="211" customWidth="1"/>
    <col min="12064" max="12064" width="9.42578125" style="211" customWidth="1"/>
    <col min="12065" max="12066" width="9.140625" style="211"/>
    <col min="12067" max="12067" width="10.5703125" style="211" customWidth="1"/>
    <col min="12068" max="12068" width="9.140625" style="211"/>
    <col min="12069" max="12069" width="4" style="211" customWidth="1"/>
    <col min="12070" max="12070" width="9.42578125" style="211" customWidth="1"/>
    <col min="12071" max="12072" width="9.140625" style="211"/>
    <col min="12073" max="12073" width="10.5703125" style="211" customWidth="1"/>
    <col min="12074" max="12074" width="9.140625" style="211"/>
    <col min="12075" max="12075" width="4" style="211" customWidth="1"/>
    <col min="12076" max="12076" width="9.42578125" style="211" customWidth="1"/>
    <col min="12077" max="12078" width="9.140625" style="211"/>
    <col min="12079" max="12079" width="10.5703125" style="211" customWidth="1"/>
    <col min="12080" max="12080" width="9.140625" style="211"/>
    <col min="12081" max="12081" width="4" style="211" customWidth="1"/>
    <col min="12082" max="12082" width="9.42578125" style="211" customWidth="1"/>
    <col min="12083" max="12084" width="9.140625" style="211"/>
    <col min="12085" max="12085" width="10.5703125" style="211" customWidth="1"/>
    <col min="12086" max="12086" width="9.140625" style="211"/>
    <col min="12087" max="12087" width="4" style="211" customWidth="1"/>
    <col min="12088" max="12088" width="9.42578125" style="211" customWidth="1"/>
    <col min="12089" max="12090" width="9.140625" style="211"/>
    <col min="12091" max="12091" width="10.5703125" style="211" customWidth="1"/>
    <col min="12092" max="12092" width="9.140625" style="211"/>
    <col min="12093" max="12093" width="4" style="211" customWidth="1"/>
    <col min="12094" max="12094" width="9.42578125" style="211" customWidth="1"/>
    <col min="12095" max="12096" width="9.140625" style="211"/>
    <col min="12097" max="12097" width="10.5703125" style="211" customWidth="1"/>
    <col min="12098" max="12098" width="9.140625" style="211"/>
    <col min="12099" max="12099" width="4" style="211" customWidth="1"/>
    <col min="12100" max="12100" width="9.42578125" style="211" customWidth="1"/>
    <col min="12101" max="12102" width="9.140625" style="211"/>
    <col min="12103" max="12103" width="10.5703125" style="211" customWidth="1"/>
    <col min="12104" max="12104" width="9.140625" style="211"/>
    <col min="12105" max="12105" width="4" style="211" customWidth="1"/>
    <col min="12106" max="12106" width="9.42578125" style="211" customWidth="1"/>
    <col min="12107" max="12108" width="9.140625" style="211"/>
    <col min="12109" max="12109" width="10.5703125" style="211" customWidth="1"/>
    <col min="12110" max="12110" width="9.140625" style="211"/>
    <col min="12111" max="12111" width="4" style="211" customWidth="1"/>
    <col min="12112" max="12112" width="9.42578125" style="211" customWidth="1"/>
    <col min="12113" max="12114" width="9.140625" style="211"/>
    <col min="12115" max="12115" width="10.5703125" style="211" customWidth="1"/>
    <col min="12116" max="12116" width="9.140625" style="211"/>
    <col min="12117" max="12117" width="4" style="211" customWidth="1"/>
    <col min="12118" max="12118" width="9.42578125" style="211" customWidth="1"/>
    <col min="12119" max="12120" width="9.140625" style="211"/>
    <col min="12121" max="12121" width="10.5703125" style="211" customWidth="1"/>
    <col min="12122" max="12122" width="9.140625" style="211"/>
    <col min="12123" max="12123" width="4" style="211" customWidth="1"/>
    <col min="12124" max="12124" width="9.42578125" style="211" customWidth="1"/>
    <col min="12125" max="12126" width="9.140625" style="211"/>
    <col min="12127" max="12127" width="10.5703125" style="211" customWidth="1"/>
    <col min="12128" max="12128" width="9.140625" style="211"/>
    <col min="12129" max="12129" width="4" style="211" customWidth="1"/>
    <col min="12130" max="12130" width="9.42578125" style="211" customWidth="1"/>
    <col min="12131" max="12132" width="9.140625" style="211"/>
    <col min="12133" max="12133" width="10.5703125" style="211" customWidth="1"/>
    <col min="12134" max="12134" width="9.140625" style="211"/>
    <col min="12135" max="12135" width="4" style="211" customWidth="1"/>
    <col min="12136" max="12136" width="12.42578125" style="211" customWidth="1"/>
    <col min="12137" max="12138" width="9.140625" style="211"/>
    <col min="12139" max="12139" width="10.5703125" style="211" customWidth="1"/>
    <col min="12140" max="12140" width="9.140625" style="211"/>
    <col min="12141" max="12141" width="4" style="211" customWidth="1"/>
    <col min="12142" max="12142" width="12.42578125" style="211" customWidth="1"/>
    <col min="12143" max="12144" width="9.140625" style="211"/>
    <col min="12145" max="12145" width="10.5703125" style="211" customWidth="1"/>
    <col min="12146" max="12146" width="9.140625" style="211"/>
    <col min="12147" max="12147" width="4" style="211" customWidth="1"/>
    <col min="12148" max="12148" width="12.42578125" style="211" customWidth="1"/>
    <col min="12149" max="12150" width="9.140625" style="211"/>
    <col min="12151" max="12151" width="10.5703125" style="211" customWidth="1"/>
    <col min="12152" max="12152" width="9.140625" style="211"/>
    <col min="12153" max="12153" width="4" style="211" customWidth="1"/>
    <col min="12154" max="12154" width="12.42578125" style="211" customWidth="1"/>
    <col min="12155" max="12156" width="9.140625" style="211"/>
    <col min="12157" max="12157" width="10.5703125" style="211" customWidth="1"/>
    <col min="12158" max="12158" width="9.140625" style="211"/>
    <col min="12159" max="12159" width="4" style="211" customWidth="1"/>
    <col min="12160" max="12160" width="12.42578125" style="211" customWidth="1"/>
    <col min="12161" max="12162" width="9.140625" style="211"/>
    <col min="12163" max="12163" width="10.5703125" style="211" customWidth="1"/>
    <col min="12164" max="12288" width="9.140625" style="211"/>
    <col min="12289" max="12289" width="2.7109375" style="211" customWidth="1"/>
    <col min="12290" max="12290" width="9.140625" style="211"/>
    <col min="12291" max="12291" width="9.42578125" style="211" customWidth="1"/>
    <col min="12292" max="12292" width="0" style="211" hidden="1" customWidth="1"/>
    <col min="12293" max="12293" width="9.140625" style="211"/>
    <col min="12294" max="12294" width="2.42578125" style="211" customWidth="1"/>
    <col min="12295" max="12295" width="9.140625" style="211"/>
    <col min="12296" max="12296" width="9.42578125" style="211" customWidth="1"/>
    <col min="12297" max="12297" width="0" style="211" hidden="1" customWidth="1"/>
    <col min="12298" max="12298" width="9.140625" style="211"/>
    <col min="12299" max="12299" width="2.28515625" style="211" customWidth="1"/>
    <col min="12300" max="12300" width="9.140625" style="211"/>
    <col min="12301" max="12301" width="9.42578125" style="211" customWidth="1"/>
    <col min="12302" max="12302" width="0" style="211" hidden="1" customWidth="1"/>
    <col min="12303" max="12303" width="9.140625" style="211"/>
    <col min="12304" max="12304" width="2.5703125" style="211" customWidth="1"/>
    <col min="12305" max="12305" width="9.140625" style="211"/>
    <col min="12306" max="12306" width="9.5703125" style="211" customWidth="1"/>
    <col min="12307" max="12307" width="0" style="211" hidden="1" customWidth="1"/>
    <col min="12308" max="12308" width="9.140625" style="211"/>
    <col min="12309" max="12309" width="2.7109375" style="211" customWidth="1"/>
    <col min="12310" max="12311" width="9.140625" style="211"/>
    <col min="12312" max="12312" width="3.140625" style="211" customWidth="1"/>
    <col min="12313" max="12313" width="4" style="211" customWidth="1"/>
    <col min="12314" max="12314" width="9.42578125" style="211" customWidth="1"/>
    <col min="12315" max="12316" width="9.140625" style="211"/>
    <col min="12317" max="12317" width="10.5703125" style="211" customWidth="1"/>
    <col min="12318" max="12318" width="9.140625" style="211"/>
    <col min="12319" max="12319" width="4" style="211" customWidth="1"/>
    <col min="12320" max="12320" width="9.42578125" style="211" customWidth="1"/>
    <col min="12321" max="12322" width="9.140625" style="211"/>
    <col min="12323" max="12323" width="10.5703125" style="211" customWidth="1"/>
    <col min="12324" max="12324" width="9.140625" style="211"/>
    <col min="12325" max="12325" width="4" style="211" customWidth="1"/>
    <col min="12326" max="12326" width="9.42578125" style="211" customWidth="1"/>
    <col min="12327" max="12328" width="9.140625" style="211"/>
    <col min="12329" max="12329" width="10.5703125" style="211" customWidth="1"/>
    <col min="12330" max="12330" width="9.140625" style="211"/>
    <col min="12331" max="12331" width="4" style="211" customWidth="1"/>
    <col min="12332" max="12332" width="9.42578125" style="211" customWidth="1"/>
    <col min="12333" max="12334" width="9.140625" style="211"/>
    <col min="12335" max="12335" width="10.5703125" style="211" customWidth="1"/>
    <col min="12336" max="12336" width="9.140625" style="211"/>
    <col min="12337" max="12337" width="4" style="211" customWidth="1"/>
    <col min="12338" max="12338" width="9.42578125" style="211" customWidth="1"/>
    <col min="12339" max="12340" width="9.140625" style="211"/>
    <col min="12341" max="12341" width="10.5703125" style="211" customWidth="1"/>
    <col min="12342" max="12342" width="9.140625" style="211"/>
    <col min="12343" max="12343" width="4" style="211" customWidth="1"/>
    <col min="12344" max="12344" width="9.42578125" style="211" customWidth="1"/>
    <col min="12345" max="12346" width="9.140625" style="211"/>
    <col min="12347" max="12347" width="10.5703125" style="211" customWidth="1"/>
    <col min="12348" max="12348" width="9.140625" style="211"/>
    <col min="12349" max="12349" width="4" style="211" customWidth="1"/>
    <col min="12350" max="12350" width="9.42578125" style="211" customWidth="1"/>
    <col min="12351" max="12352" width="9.140625" style="211"/>
    <col min="12353" max="12353" width="10.5703125" style="211" customWidth="1"/>
    <col min="12354" max="12354" width="9.140625" style="211"/>
    <col min="12355" max="12355" width="4" style="211" customWidth="1"/>
    <col min="12356" max="12356" width="9.42578125" style="211" customWidth="1"/>
    <col min="12357" max="12358" width="9.140625" style="211"/>
    <col min="12359" max="12359" width="10.5703125" style="211" customWidth="1"/>
    <col min="12360" max="12360" width="9.140625" style="211"/>
    <col min="12361" max="12361" width="4" style="211" customWidth="1"/>
    <col min="12362" max="12362" width="9.42578125" style="211" customWidth="1"/>
    <col min="12363" max="12364" width="9.140625" style="211"/>
    <col min="12365" max="12365" width="10.5703125" style="211" customWidth="1"/>
    <col min="12366" max="12366" width="9.140625" style="211"/>
    <col min="12367" max="12367" width="4" style="211" customWidth="1"/>
    <col min="12368" max="12368" width="9.42578125" style="211" customWidth="1"/>
    <col min="12369" max="12370" width="9.140625" style="211"/>
    <col min="12371" max="12371" width="10.5703125" style="211" customWidth="1"/>
    <col min="12372" max="12372" width="9.140625" style="211"/>
    <col min="12373" max="12373" width="4" style="211" customWidth="1"/>
    <col min="12374" max="12374" width="9.42578125" style="211" customWidth="1"/>
    <col min="12375" max="12376" width="9.140625" style="211"/>
    <col min="12377" max="12377" width="10.5703125" style="211" customWidth="1"/>
    <col min="12378" max="12378" width="9.140625" style="211"/>
    <col min="12379" max="12379" width="4" style="211" customWidth="1"/>
    <col min="12380" max="12380" width="9.42578125" style="211" customWidth="1"/>
    <col min="12381" max="12382" width="9.140625" style="211"/>
    <col min="12383" max="12383" width="10.5703125" style="211" customWidth="1"/>
    <col min="12384" max="12384" width="9.140625" style="211"/>
    <col min="12385" max="12385" width="4" style="211" customWidth="1"/>
    <col min="12386" max="12386" width="9.42578125" style="211" customWidth="1"/>
    <col min="12387" max="12388" width="9.140625" style="211"/>
    <col min="12389" max="12389" width="10.5703125" style="211" customWidth="1"/>
    <col min="12390" max="12390" width="9.140625" style="211"/>
    <col min="12391" max="12391" width="4" style="211" customWidth="1"/>
    <col min="12392" max="12392" width="12.42578125" style="211" customWidth="1"/>
    <col min="12393" max="12394" width="9.140625" style="211"/>
    <col min="12395" max="12395" width="10.5703125" style="211" customWidth="1"/>
    <col min="12396" max="12396" width="9.140625" style="211"/>
    <col min="12397" max="12397" width="4" style="211" customWidth="1"/>
    <col min="12398" max="12398" width="12.42578125" style="211" customWidth="1"/>
    <col min="12399" max="12400" width="9.140625" style="211"/>
    <col min="12401" max="12401" width="10.5703125" style="211" customWidth="1"/>
    <col min="12402" max="12402" width="9.140625" style="211"/>
    <col min="12403" max="12403" width="4" style="211" customWidth="1"/>
    <col min="12404" max="12404" width="12.42578125" style="211" customWidth="1"/>
    <col min="12405" max="12406" width="9.140625" style="211"/>
    <col min="12407" max="12407" width="10.5703125" style="211" customWidth="1"/>
    <col min="12408" max="12408" width="9.140625" style="211"/>
    <col min="12409" max="12409" width="4" style="211" customWidth="1"/>
    <col min="12410" max="12410" width="12.42578125" style="211" customWidth="1"/>
    <col min="12411" max="12412" width="9.140625" style="211"/>
    <col min="12413" max="12413" width="10.5703125" style="211" customWidth="1"/>
    <col min="12414" max="12414" width="9.140625" style="211"/>
    <col min="12415" max="12415" width="4" style="211" customWidth="1"/>
    <col min="12416" max="12416" width="12.42578125" style="211" customWidth="1"/>
    <col min="12417" max="12418" width="9.140625" style="211"/>
    <col min="12419" max="12419" width="10.5703125" style="211" customWidth="1"/>
    <col min="12420" max="12544" width="9.140625" style="211"/>
    <col min="12545" max="12545" width="2.7109375" style="211" customWidth="1"/>
    <col min="12546" max="12546" width="9.140625" style="211"/>
    <col min="12547" max="12547" width="9.42578125" style="211" customWidth="1"/>
    <col min="12548" max="12548" width="0" style="211" hidden="1" customWidth="1"/>
    <col min="12549" max="12549" width="9.140625" style="211"/>
    <col min="12550" max="12550" width="2.42578125" style="211" customWidth="1"/>
    <col min="12551" max="12551" width="9.140625" style="211"/>
    <col min="12552" max="12552" width="9.42578125" style="211" customWidth="1"/>
    <col min="12553" max="12553" width="0" style="211" hidden="1" customWidth="1"/>
    <col min="12554" max="12554" width="9.140625" style="211"/>
    <col min="12555" max="12555" width="2.28515625" style="211" customWidth="1"/>
    <col min="12556" max="12556" width="9.140625" style="211"/>
    <col min="12557" max="12557" width="9.42578125" style="211" customWidth="1"/>
    <col min="12558" max="12558" width="0" style="211" hidden="1" customWidth="1"/>
    <col min="12559" max="12559" width="9.140625" style="211"/>
    <col min="12560" max="12560" width="2.5703125" style="211" customWidth="1"/>
    <col min="12561" max="12561" width="9.140625" style="211"/>
    <col min="12562" max="12562" width="9.5703125" style="211" customWidth="1"/>
    <col min="12563" max="12563" width="0" style="211" hidden="1" customWidth="1"/>
    <col min="12564" max="12564" width="9.140625" style="211"/>
    <col min="12565" max="12565" width="2.7109375" style="211" customWidth="1"/>
    <col min="12566" max="12567" width="9.140625" style="211"/>
    <col min="12568" max="12568" width="3.140625" style="211" customWidth="1"/>
    <col min="12569" max="12569" width="4" style="211" customWidth="1"/>
    <col min="12570" max="12570" width="9.42578125" style="211" customWidth="1"/>
    <col min="12571" max="12572" width="9.140625" style="211"/>
    <col min="12573" max="12573" width="10.5703125" style="211" customWidth="1"/>
    <col min="12574" max="12574" width="9.140625" style="211"/>
    <col min="12575" max="12575" width="4" style="211" customWidth="1"/>
    <col min="12576" max="12576" width="9.42578125" style="211" customWidth="1"/>
    <col min="12577" max="12578" width="9.140625" style="211"/>
    <col min="12579" max="12579" width="10.5703125" style="211" customWidth="1"/>
    <col min="12580" max="12580" width="9.140625" style="211"/>
    <col min="12581" max="12581" width="4" style="211" customWidth="1"/>
    <col min="12582" max="12582" width="9.42578125" style="211" customWidth="1"/>
    <col min="12583" max="12584" width="9.140625" style="211"/>
    <col min="12585" max="12585" width="10.5703125" style="211" customWidth="1"/>
    <col min="12586" max="12586" width="9.140625" style="211"/>
    <col min="12587" max="12587" width="4" style="211" customWidth="1"/>
    <col min="12588" max="12588" width="9.42578125" style="211" customWidth="1"/>
    <col min="12589" max="12590" width="9.140625" style="211"/>
    <col min="12591" max="12591" width="10.5703125" style="211" customWidth="1"/>
    <col min="12592" max="12592" width="9.140625" style="211"/>
    <col min="12593" max="12593" width="4" style="211" customWidth="1"/>
    <col min="12594" max="12594" width="9.42578125" style="211" customWidth="1"/>
    <col min="12595" max="12596" width="9.140625" style="211"/>
    <col min="12597" max="12597" width="10.5703125" style="211" customWidth="1"/>
    <col min="12598" max="12598" width="9.140625" style="211"/>
    <col min="12599" max="12599" width="4" style="211" customWidth="1"/>
    <col min="12600" max="12600" width="9.42578125" style="211" customWidth="1"/>
    <col min="12601" max="12602" width="9.140625" style="211"/>
    <col min="12603" max="12603" width="10.5703125" style="211" customWidth="1"/>
    <col min="12604" max="12604" width="9.140625" style="211"/>
    <col min="12605" max="12605" width="4" style="211" customWidth="1"/>
    <col min="12606" max="12606" width="9.42578125" style="211" customWidth="1"/>
    <col min="12607" max="12608" width="9.140625" style="211"/>
    <col min="12609" max="12609" width="10.5703125" style="211" customWidth="1"/>
    <col min="12610" max="12610" width="9.140625" style="211"/>
    <col min="12611" max="12611" width="4" style="211" customWidth="1"/>
    <col min="12612" max="12612" width="9.42578125" style="211" customWidth="1"/>
    <col min="12613" max="12614" width="9.140625" style="211"/>
    <col min="12615" max="12615" width="10.5703125" style="211" customWidth="1"/>
    <col min="12616" max="12616" width="9.140625" style="211"/>
    <col min="12617" max="12617" width="4" style="211" customWidth="1"/>
    <col min="12618" max="12618" width="9.42578125" style="211" customWidth="1"/>
    <col min="12619" max="12620" width="9.140625" style="211"/>
    <col min="12621" max="12621" width="10.5703125" style="211" customWidth="1"/>
    <col min="12622" max="12622" width="9.140625" style="211"/>
    <col min="12623" max="12623" width="4" style="211" customWidth="1"/>
    <col min="12624" max="12624" width="9.42578125" style="211" customWidth="1"/>
    <col min="12625" max="12626" width="9.140625" style="211"/>
    <col min="12627" max="12627" width="10.5703125" style="211" customWidth="1"/>
    <col min="12628" max="12628" width="9.140625" style="211"/>
    <col min="12629" max="12629" width="4" style="211" customWidth="1"/>
    <col min="12630" max="12630" width="9.42578125" style="211" customWidth="1"/>
    <col min="12631" max="12632" width="9.140625" style="211"/>
    <col min="12633" max="12633" width="10.5703125" style="211" customWidth="1"/>
    <col min="12634" max="12634" width="9.140625" style="211"/>
    <col min="12635" max="12635" width="4" style="211" customWidth="1"/>
    <col min="12636" max="12636" width="9.42578125" style="211" customWidth="1"/>
    <col min="12637" max="12638" width="9.140625" style="211"/>
    <col min="12639" max="12639" width="10.5703125" style="211" customWidth="1"/>
    <col min="12640" max="12640" width="9.140625" style="211"/>
    <col min="12641" max="12641" width="4" style="211" customWidth="1"/>
    <col min="12642" max="12642" width="9.42578125" style="211" customWidth="1"/>
    <col min="12643" max="12644" width="9.140625" style="211"/>
    <col min="12645" max="12645" width="10.5703125" style="211" customWidth="1"/>
    <col min="12646" max="12646" width="9.140625" style="211"/>
    <col min="12647" max="12647" width="4" style="211" customWidth="1"/>
    <col min="12648" max="12648" width="12.42578125" style="211" customWidth="1"/>
    <col min="12649" max="12650" width="9.140625" style="211"/>
    <col min="12651" max="12651" width="10.5703125" style="211" customWidth="1"/>
    <col min="12652" max="12652" width="9.140625" style="211"/>
    <col min="12653" max="12653" width="4" style="211" customWidth="1"/>
    <col min="12654" max="12654" width="12.42578125" style="211" customWidth="1"/>
    <col min="12655" max="12656" width="9.140625" style="211"/>
    <col min="12657" max="12657" width="10.5703125" style="211" customWidth="1"/>
    <col min="12658" max="12658" width="9.140625" style="211"/>
    <col min="12659" max="12659" width="4" style="211" customWidth="1"/>
    <col min="12660" max="12660" width="12.42578125" style="211" customWidth="1"/>
    <col min="12661" max="12662" width="9.140625" style="211"/>
    <col min="12663" max="12663" width="10.5703125" style="211" customWidth="1"/>
    <col min="12664" max="12664" width="9.140625" style="211"/>
    <col min="12665" max="12665" width="4" style="211" customWidth="1"/>
    <col min="12666" max="12666" width="12.42578125" style="211" customWidth="1"/>
    <col min="12667" max="12668" width="9.140625" style="211"/>
    <col min="12669" max="12669" width="10.5703125" style="211" customWidth="1"/>
    <col min="12670" max="12670" width="9.140625" style="211"/>
    <col min="12671" max="12671" width="4" style="211" customWidth="1"/>
    <col min="12672" max="12672" width="12.42578125" style="211" customWidth="1"/>
    <col min="12673" max="12674" width="9.140625" style="211"/>
    <col min="12675" max="12675" width="10.5703125" style="211" customWidth="1"/>
    <col min="12676" max="12800" width="9.140625" style="211"/>
    <col min="12801" max="12801" width="2.7109375" style="211" customWidth="1"/>
    <col min="12802" max="12802" width="9.140625" style="211"/>
    <col min="12803" max="12803" width="9.42578125" style="211" customWidth="1"/>
    <col min="12804" max="12804" width="0" style="211" hidden="1" customWidth="1"/>
    <col min="12805" max="12805" width="9.140625" style="211"/>
    <col min="12806" max="12806" width="2.42578125" style="211" customWidth="1"/>
    <col min="12807" max="12807" width="9.140625" style="211"/>
    <col min="12808" max="12808" width="9.42578125" style="211" customWidth="1"/>
    <col min="12809" max="12809" width="0" style="211" hidden="1" customWidth="1"/>
    <col min="12810" max="12810" width="9.140625" style="211"/>
    <col min="12811" max="12811" width="2.28515625" style="211" customWidth="1"/>
    <col min="12812" max="12812" width="9.140625" style="211"/>
    <col min="12813" max="12813" width="9.42578125" style="211" customWidth="1"/>
    <col min="12814" max="12814" width="0" style="211" hidden="1" customWidth="1"/>
    <col min="12815" max="12815" width="9.140625" style="211"/>
    <col min="12816" max="12816" width="2.5703125" style="211" customWidth="1"/>
    <col min="12817" max="12817" width="9.140625" style="211"/>
    <col min="12818" max="12818" width="9.5703125" style="211" customWidth="1"/>
    <col min="12819" max="12819" width="0" style="211" hidden="1" customWidth="1"/>
    <col min="12820" max="12820" width="9.140625" style="211"/>
    <col min="12821" max="12821" width="2.7109375" style="211" customWidth="1"/>
    <col min="12822" max="12823" width="9.140625" style="211"/>
    <col min="12824" max="12824" width="3.140625" style="211" customWidth="1"/>
    <col min="12825" max="12825" width="4" style="211" customWidth="1"/>
    <col min="12826" max="12826" width="9.42578125" style="211" customWidth="1"/>
    <col min="12827" max="12828" width="9.140625" style="211"/>
    <col min="12829" max="12829" width="10.5703125" style="211" customWidth="1"/>
    <col min="12830" max="12830" width="9.140625" style="211"/>
    <col min="12831" max="12831" width="4" style="211" customWidth="1"/>
    <col min="12832" max="12832" width="9.42578125" style="211" customWidth="1"/>
    <col min="12833" max="12834" width="9.140625" style="211"/>
    <col min="12835" max="12835" width="10.5703125" style="211" customWidth="1"/>
    <col min="12836" max="12836" width="9.140625" style="211"/>
    <col min="12837" max="12837" width="4" style="211" customWidth="1"/>
    <col min="12838" max="12838" width="9.42578125" style="211" customWidth="1"/>
    <col min="12839" max="12840" width="9.140625" style="211"/>
    <col min="12841" max="12841" width="10.5703125" style="211" customWidth="1"/>
    <col min="12842" max="12842" width="9.140625" style="211"/>
    <col min="12843" max="12843" width="4" style="211" customWidth="1"/>
    <col min="12844" max="12844" width="9.42578125" style="211" customWidth="1"/>
    <col min="12845" max="12846" width="9.140625" style="211"/>
    <col min="12847" max="12847" width="10.5703125" style="211" customWidth="1"/>
    <col min="12848" max="12848" width="9.140625" style="211"/>
    <col min="12849" max="12849" width="4" style="211" customWidth="1"/>
    <col min="12850" max="12850" width="9.42578125" style="211" customWidth="1"/>
    <col min="12851" max="12852" width="9.140625" style="211"/>
    <col min="12853" max="12853" width="10.5703125" style="211" customWidth="1"/>
    <col min="12854" max="12854" width="9.140625" style="211"/>
    <col min="12855" max="12855" width="4" style="211" customWidth="1"/>
    <col min="12856" max="12856" width="9.42578125" style="211" customWidth="1"/>
    <col min="12857" max="12858" width="9.140625" style="211"/>
    <col min="12859" max="12859" width="10.5703125" style="211" customWidth="1"/>
    <col min="12860" max="12860" width="9.140625" style="211"/>
    <col min="12861" max="12861" width="4" style="211" customWidth="1"/>
    <col min="12862" max="12862" width="9.42578125" style="211" customWidth="1"/>
    <col min="12863" max="12864" width="9.140625" style="211"/>
    <col min="12865" max="12865" width="10.5703125" style="211" customWidth="1"/>
    <col min="12866" max="12866" width="9.140625" style="211"/>
    <col min="12867" max="12867" width="4" style="211" customWidth="1"/>
    <col min="12868" max="12868" width="9.42578125" style="211" customWidth="1"/>
    <col min="12869" max="12870" width="9.140625" style="211"/>
    <col min="12871" max="12871" width="10.5703125" style="211" customWidth="1"/>
    <col min="12872" max="12872" width="9.140625" style="211"/>
    <col min="12873" max="12873" width="4" style="211" customWidth="1"/>
    <col min="12874" max="12874" width="9.42578125" style="211" customWidth="1"/>
    <col min="12875" max="12876" width="9.140625" style="211"/>
    <col min="12877" max="12877" width="10.5703125" style="211" customWidth="1"/>
    <col min="12878" max="12878" width="9.140625" style="211"/>
    <col min="12879" max="12879" width="4" style="211" customWidth="1"/>
    <col min="12880" max="12880" width="9.42578125" style="211" customWidth="1"/>
    <col min="12881" max="12882" width="9.140625" style="211"/>
    <col min="12883" max="12883" width="10.5703125" style="211" customWidth="1"/>
    <col min="12884" max="12884" width="9.140625" style="211"/>
    <col min="12885" max="12885" width="4" style="211" customWidth="1"/>
    <col min="12886" max="12886" width="9.42578125" style="211" customWidth="1"/>
    <col min="12887" max="12888" width="9.140625" style="211"/>
    <col min="12889" max="12889" width="10.5703125" style="211" customWidth="1"/>
    <col min="12890" max="12890" width="9.140625" style="211"/>
    <col min="12891" max="12891" width="4" style="211" customWidth="1"/>
    <col min="12892" max="12892" width="9.42578125" style="211" customWidth="1"/>
    <col min="12893" max="12894" width="9.140625" style="211"/>
    <col min="12895" max="12895" width="10.5703125" style="211" customWidth="1"/>
    <col min="12896" max="12896" width="9.140625" style="211"/>
    <col min="12897" max="12897" width="4" style="211" customWidth="1"/>
    <col min="12898" max="12898" width="9.42578125" style="211" customWidth="1"/>
    <col min="12899" max="12900" width="9.140625" style="211"/>
    <col min="12901" max="12901" width="10.5703125" style="211" customWidth="1"/>
    <col min="12902" max="12902" width="9.140625" style="211"/>
    <col min="12903" max="12903" width="4" style="211" customWidth="1"/>
    <col min="12904" max="12904" width="12.42578125" style="211" customWidth="1"/>
    <col min="12905" max="12906" width="9.140625" style="211"/>
    <col min="12907" max="12907" width="10.5703125" style="211" customWidth="1"/>
    <col min="12908" max="12908" width="9.140625" style="211"/>
    <col min="12909" max="12909" width="4" style="211" customWidth="1"/>
    <col min="12910" max="12910" width="12.42578125" style="211" customWidth="1"/>
    <col min="12911" max="12912" width="9.140625" style="211"/>
    <col min="12913" max="12913" width="10.5703125" style="211" customWidth="1"/>
    <col min="12914" max="12914" width="9.140625" style="211"/>
    <col min="12915" max="12915" width="4" style="211" customWidth="1"/>
    <col min="12916" max="12916" width="12.42578125" style="211" customWidth="1"/>
    <col min="12917" max="12918" width="9.140625" style="211"/>
    <col min="12919" max="12919" width="10.5703125" style="211" customWidth="1"/>
    <col min="12920" max="12920" width="9.140625" style="211"/>
    <col min="12921" max="12921" width="4" style="211" customWidth="1"/>
    <col min="12922" max="12922" width="12.42578125" style="211" customWidth="1"/>
    <col min="12923" max="12924" width="9.140625" style="211"/>
    <col min="12925" max="12925" width="10.5703125" style="211" customWidth="1"/>
    <col min="12926" max="12926" width="9.140625" style="211"/>
    <col min="12927" max="12927" width="4" style="211" customWidth="1"/>
    <col min="12928" max="12928" width="12.42578125" style="211" customWidth="1"/>
    <col min="12929" max="12930" width="9.140625" style="211"/>
    <col min="12931" max="12931" width="10.5703125" style="211" customWidth="1"/>
    <col min="12932" max="13056" width="9.140625" style="211"/>
    <col min="13057" max="13057" width="2.7109375" style="211" customWidth="1"/>
    <col min="13058" max="13058" width="9.140625" style="211"/>
    <col min="13059" max="13059" width="9.42578125" style="211" customWidth="1"/>
    <col min="13060" max="13060" width="0" style="211" hidden="1" customWidth="1"/>
    <col min="13061" max="13061" width="9.140625" style="211"/>
    <col min="13062" max="13062" width="2.42578125" style="211" customWidth="1"/>
    <col min="13063" max="13063" width="9.140625" style="211"/>
    <col min="13064" max="13064" width="9.42578125" style="211" customWidth="1"/>
    <col min="13065" max="13065" width="0" style="211" hidden="1" customWidth="1"/>
    <col min="13066" max="13066" width="9.140625" style="211"/>
    <col min="13067" max="13067" width="2.28515625" style="211" customWidth="1"/>
    <col min="13068" max="13068" width="9.140625" style="211"/>
    <col min="13069" max="13069" width="9.42578125" style="211" customWidth="1"/>
    <col min="13070" max="13070" width="0" style="211" hidden="1" customWidth="1"/>
    <col min="13071" max="13071" width="9.140625" style="211"/>
    <col min="13072" max="13072" width="2.5703125" style="211" customWidth="1"/>
    <col min="13073" max="13073" width="9.140625" style="211"/>
    <col min="13074" max="13074" width="9.5703125" style="211" customWidth="1"/>
    <col min="13075" max="13075" width="0" style="211" hidden="1" customWidth="1"/>
    <col min="13076" max="13076" width="9.140625" style="211"/>
    <col min="13077" max="13077" width="2.7109375" style="211" customWidth="1"/>
    <col min="13078" max="13079" width="9.140625" style="211"/>
    <col min="13080" max="13080" width="3.140625" style="211" customWidth="1"/>
    <col min="13081" max="13081" width="4" style="211" customWidth="1"/>
    <col min="13082" max="13082" width="9.42578125" style="211" customWidth="1"/>
    <col min="13083" max="13084" width="9.140625" style="211"/>
    <col min="13085" max="13085" width="10.5703125" style="211" customWidth="1"/>
    <col min="13086" max="13086" width="9.140625" style="211"/>
    <col min="13087" max="13087" width="4" style="211" customWidth="1"/>
    <col min="13088" max="13088" width="9.42578125" style="211" customWidth="1"/>
    <col min="13089" max="13090" width="9.140625" style="211"/>
    <col min="13091" max="13091" width="10.5703125" style="211" customWidth="1"/>
    <col min="13092" max="13092" width="9.140625" style="211"/>
    <col min="13093" max="13093" width="4" style="211" customWidth="1"/>
    <col min="13094" max="13094" width="9.42578125" style="211" customWidth="1"/>
    <col min="13095" max="13096" width="9.140625" style="211"/>
    <col min="13097" max="13097" width="10.5703125" style="211" customWidth="1"/>
    <col min="13098" max="13098" width="9.140625" style="211"/>
    <col min="13099" max="13099" width="4" style="211" customWidth="1"/>
    <col min="13100" max="13100" width="9.42578125" style="211" customWidth="1"/>
    <col min="13101" max="13102" width="9.140625" style="211"/>
    <col min="13103" max="13103" width="10.5703125" style="211" customWidth="1"/>
    <col min="13104" max="13104" width="9.140625" style="211"/>
    <col min="13105" max="13105" width="4" style="211" customWidth="1"/>
    <col min="13106" max="13106" width="9.42578125" style="211" customWidth="1"/>
    <col min="13107" max="13108" width="9.140625" style="211"/>
    <col min="13109" max="13109" width="10.5703125" style="211" customWidth="1"/>
    <col min="13110" max="13110" width="9.140625" style="211"/>
    <col min="13111" max="13111" width="4" style="211" customWidth="1"/>
    <col min="13112" max="13112" width="9.42578125" style="211" customWidth="1"/>
    <col min="13113" max="13114" width="9.140625" style="211"/>
    <col min="13115" max="13115" width="10.5703125" style="211" customWidth="1"/>
    <col min="13116" max="13116" width="9.140625" style="211"/>
    <col min="13117" max="13117" width="4" style="211" customWidth="1"/>
    <col min="13118" max="13118" width="9.42578125" style="211" customWidth="1"/>
    <col min="13119" max="13120" width="9.140625" style="211"/>
    <col min="13121" max="13121" width="10.5703125" style="211" customWidth="1"/>
    <col min="13122" max="13122" width="9.140625" style="211"/>
    <col min="13123" max="13123" width="4" style="211" customWidth="1"/>
    <col min="13124" max="13124" width="9.42578125" style="211" customWidth="1"/>
    <col min="13125" max="13126" width="9.140625" style="211"/>
    <col min="13127" max="13127" width="10.5703125" style="211" customWidth="1"/>
    <col min="13128" max="13128" width="9.140625" style="211"/>
    <col min="13129" max="13129" width="4" style="211" customWidth="1"/>
    <col min="13130" max="13130" width="9.42578125" style="211" customWidth="1"/>
    <col min="13131" max="13132" width="9.140625" style="211"/>
    <col min="13133" max="13133" width="10.5703125" style="211" customWidth="1"/>
    <col min="13134" max="13134" width="9.140625" style="211"/>
    <col min="13135" max="13135" width="4" style="211" customWidth="1"/>
    <col min="13136" max="13136" width="9.42578125" style="211" customWidth="1"/>
    <col min="13137" max="13138" width="9.140625" style="211"/>
    <col min="13139" max="13139" width="10.5703125" style="211" customWidth="1"/>
    <col min="13140" max="13140" width="9.140625" style="211"/>
    <col min="13141" max="13141" width="4" style="211" customWidth="1"/>
    <col min="13142" max="13142" width="9.42578125" style="211" customWidth="1"/>
    <col min="13143" max="13144" width="9.140625" style="211"/>
    <col min="13145" max="13145" width="10.5703125" style="211" customWidth="1"/>
    <col min="13146" max="13146" width="9.140625" style="211"/>
    <col min="13147" max="13147" width="4" style="211" customWidth="1"/>
    <col min="13148" max="13148" width="9.42578125" style="211" customWidth="1"/>
    <col min="13149" max="13150" width="9.140625" style="211"/>
    <col min="13151" max="13151" width="10.5703125" style="211" customWidth="1"/>
    <col min="13152" max="13152" width="9.140625" style="211"/>
    <col min="13153" max="13153" width="4" style="211" customWidth="1"/>
    <col min="13154" max="13154" width="9.42578125" style="211" customWidth="1"/>
    <col min="13155" max="13156" width="9.140625" style="211"/>
    <col min="13157" max="13157" width="10.5703125" style="211" customWidth="1"/>
    <col min="13158" max="13158" width="9.140625" style="211"/>
    <col min="13159" max="13159" width="4" style="211" customWidth="1"/>
    <col min="13160" max="13160" width="12.42578125" style="211" customWidth="1"/>
    <col min="13161" max="13162" width="9.140625" style="211"/>
    <col min="13163" max="13163" width="10.5703125" style="211" customWidth="1"/>
    <col min="13164" max="13164" width="9.140625" style="211"/>
    <col min="13165" max="13165" width="4" style="211" customWidth="1"/>
    <col min="13166" max="13166" width="12.42578125" style="211" customWidth="1"/>
    <col min="13167" max="13168" width="9.140625" style="211"/>
    <col min="13169" max="13169" width="10.5703125" style="211" customWidth="1"/>
    <col min="13170" max="13170" width="9.140625" style="211"/>
    <col min="13171" max="13171" width="4" style="211" customWidth="1"/>
    <col min="13172" max="13172" width="12.42578125" style="211" customWidth="1"/>
    <col min="13173" max="13174" width="9.140625" style="211"/>
    <col min="13175" max="13175" width="10.5703125" style="211" customWidth="1"/>
    <col min="13176" max="13176" width="9.140625" style="211"/>
    <col min="13177" max="13177" width="4" style="211" customWidth="1"/>
    <col min="13178" max="13178" width="12.42578125" style="211" customWidth="1"/>
    <col min="13179" max="13180" width="9.140625" style="211"/>
    <col min="13181" max="13181" width="10.5703125" style="211" customWidth="1"/>
    <col min="13182" max="13182" width="9.140625" style="211"/>
    <col min="13183" max="13183" width="4" style="211" customWidth="1"/>
    <col min="13184" max="13184" width="12.42578125" style="211" customWidth="1"/>
    <col min="13185" max="13186" width="9.140625" style="211"/>
    <col min="13187" max="13187" width="10.5703125" style="211" customWidth="1"/>
    <col min="13188" max="13312" width="9.140625" style="211"/>
    <col min="13313" max="13313" width="2.7109375" style="211" customWidth="1"/>
    <col min="13314" max="13314" width="9.140625" style="211"/>
    <col min="13315" max="13315" width="9.42578125" style="211" customWidth="1"/>
    <col min="13316" max="13316" width="0" style="211" hidden="1" customWidth="1"/>
    <col min="13317" max="13317" width="9.140625" style="211"/>
    <col min="13318" max="13318" width="2.42578125" style="211" customWidth="1"/>
    <col min="13319" max="13319" width="9.140625" style="211"/>
    <col min="13320" max="13320" width="9.42578125" style="211" customWidth="1"/>
    <col min="13321" max="13321" width="0" style="211" hidden="1" customWidth="1"/>
    <col min="13322" max="13322" width="9.140625" style="211"/>
    <col min="13323" max="13323" width="2.28515625" style="211" customWidth="1"/>
    <col min="13324" max="13324" width="9.140625" style="211"/>
    <col min="13325" max="13325" width="9.42578125" style="211" customWidth="1"/>
    <col min="13326" max="13326" width="0" style="211" hidden="1" customWidth="1"/>
    <col min="13327" max="13327" width="9.140625" style="211"/>
    <col min="13328" max="13328" width="2.5703125" style="211" customWidth="1"/>
    <col min="13329" max="13329" width="9.140625" style="211"/>
    <col min="13330" max="13330" width="9.5703125" style="211" customWidth="1"/>
    <col min="13331" max="13331" width="0" style="211" hidden="1" customWidth="1"/>
    <col min="13332" max="13332" width="9.140625" style="211"/>
    <col min="13333" max="13333" width="2.7109375" style="211" customWidth="1"/>
    <col min="13334" max="13335" width="9.140625" style="211"/>
    <col min="13336" max="13336" width="3.140625" style="211" customWidth="1"/>
    <col min="13337" max="13337" width="4" style="211" customWidth="1"/>
    <col min="13338" max="13338" width="9.42578125" style="211" customWidth="1"/>
    <col min="13339" max="13340" width="9.140625" style="211"/>
    <col min="13341" max="13341" width="10.5703125" style="211" customWidth="1"/>
    <col min="13342" max="13342" width="9.140625" style="211"/>
    <col min="13343" max="13343" width="4" style="211" customWidth="1"/>
    <col min="13344" max="13344" width="9.42578125" style="211" customWidth="1"/>
    <col min="13345" max="13346" width="9.140625" style="211"/>
    <col min="13347" max="13347" width="10.5703125" style="211" customWidth="1"/>
    <col min="13348" max="13348" width="9.140625" style="211"/>
    <col min="13349" max="13349" width="4" style="211" customWidth="1"/>
    <col min="13350" max="13350" width="9.42578125" style="211" customWidth="1"/>
    <col min="13351" max="13352" width="9.140625" style="211"/>
    <col min="13353" max="13353" width="10.5703125" style="211" customWidth="1"/>
    <col min="13354" max="13354" width="9.140625" style="211"/>
    <col min="13355" max="13355" width="4" style="211" customWidth="1"/>
    <col min="13356" max="13356" width="9.42578125" style="211" customWidth="1"/>
    <col min="13357" max="13358" width="9.140625" style="211"/>
    <col min="13359" max="13359" width="10.5703125" style="211" customWidth="1"/>
    <col min="13360" max="13360" width="9.140625" style="211"/>
    <col min="13361" max="13361" width="4" style="211" customWidth="1"/>
    <col min="13362" max="13362" width="9.42578125" style="211" customWidth="1"/>
    <col min="13363" max="13364" width="9.140625" style="211"/>
    <col min="13365" max="13365" width="10.5703125" style="211" customWidth="1"/>
    <col min="13366" max="13366" width="9.140625" style="211"/>
    <col min="13367" max="13367" width="4" style="211" customWidth="1"/>
    <col min="13368" max="13368" width="9.42578125" style="211" customWidth="1"/>
    <col min="13369" max="13370" width="9.140625" style="211"/>
    <col min="13371" max="13371" width="10.5703125" style="211" customWidth="1"/>
    <col min="13372" max="13372" width="9.140625" style="211"/>
    <col min="13373" max="13373" width="4" style="211" customWidth="1"/>
    <col min="13374" max="13374" width="9.42578125" style="211" customWidth="1"/>
    <col min="13375" max="13376" width="9.140625" style="211"/>
    <col min="13377" max="13377" width="10.5703125" style="211" customWidth="1"/>
    <col min="13378" max="13378" width="9.140625" style="211"/>
    <col min="13379" max="13379" width="4" style="211" customWidth="1"/>
    <col min="13380" max="13380" width="9.42578125" style="211" customWidth="1"/>
    <col min="13381" max="13382" width="9.140625" style="211"/>
    <col min="13383" max="13383" width="10.5703125" style="211" customWidth="1"/>
    <col min="13384" max="13384" width="9.140625" style="211"/>
    <col min="13385" max="13385" width="4" style="211" customWidth="1"/>
    <col min="13386" max="13386" width="9.42578125" style="211" customWidth="1"/>
    <col min="13387" max="13388" width="9.140625" style="211"/>
    <col min="13389" max="13389" width="10.5703125" style="211" customWidth="1"/>
    <col min="13390" max="13390" width="9.140625" style="211"/>
    <col min="13391" max="13391" width="4" style="211" customWidth="1"/>
    <col min="13392" max="13392" width="9.42578125" style="211" customWidth="1"/>
    <col min="13393" max="13394" width="9.140625" style="211"/>
    <col min="13395" max="13395" width="10.5703125" style="211" customWidth="1"/>
    <col min="13396" max="13396" width="9.140625" style="211"/>
    <col min="13397" max="13397" width="4" style="211" customWidth="1"/>
    <col min="13398" max="13398" width="9.42578125" style="211" customWidth="1"/>
    <col min="13399" max="13400" width="9.140625" style="211"/>
    <col min="13401" max="13401" width="10.5703125" style="211" customWidth="1"/>
    <col min="13402" max="13402" width="9.140625" style="211"/>
    <col min="13403" max="13403" width="4" style="211" customWidth="1"/>
    <col min="13404" max="13404" width="9.42578125" style="211" customWidth="1"/>
    <col min="13405" max="13406" width="9.140625" style="211"/>
    <col min="13407" max="13407" width="10.5703125" style="211" customWidth="1"/>
    <col min="13408" max="13408" width="9.140625" style="211"/>
    <col min="13409" max="13409" width="4" style="211" customWidth="1"/>
    <col min="13410" max="13410" width="9.42578125" style="211" customWidth="1"/>
    <col min="13411" max="13412" width="9.140625" style="211"/>
    <col min="13413" max="13413" width="10.5703125" style="211" customWidth="1"/>
    <col min="13414" max="13414" width="9.140625" style="211"/>
    <col min="13415" max="13415" width="4" style="211" customWidth="1"/>
    <col min="13416" max="13416" width="12.42578125" style="211" customWidth="1"/>
    <col min="13417" max="13418" width="9.140625" style="211"/>
    <col min="13419" max="13419" width="10.5703125" style="211" customWidth="1"/>
    <col min="13420" max="13420" width="9.140625" style="211"/>
    <col min="13421" max="13421" width="4" style="211" customWidth="1"/>
    <col min="13422" max="13422" width="12.42578125" style="211" customWidth="1"/>
    <col min="13423" max="13424" width="9.140625" style="211"/>
    <col min="13425" max="13425" width="10.5703125" style="211" customWidth="1"/>
    <col min="13426" max="13426" width="9.140625" style="211"/>
    <col min="13427" max="13427" width="4" style="211" customWidth="1"/>
    <col min="13428" max="13428" width="12.42578125" style="211" customWidth="1"/>
    <col min="13429" max="13430" width="9.140625" style="211"/>
    <col min="13431" max="13431" width="10.5703125" style="211" customWidth="1"/>
    <col min="13432" max="13432" width="9.140625" style="211"/>
    <col min="13433" max="13433" width="4" style="211" customWidth="1"/>
    <col min="13434" max="13434" width="12.42578125" style="211" customWidth="1"/>
    <col min="13435" max="13436" width="9.140625" style="211"/>
    <col min="13437" max="13437" width="10.5703125" style="211" customWidth="1"/>
    <col min="13438" max="13438" width="9.140625" style="211"/>
    <col min="13439" max="13439" width="4" style="211" customWidth="1"/>
    <col min="13440" max="13440" width="12.42578125" style="211" customWidth="1"/>
    <col min="13441" max="13442" width="9.140625" style="211"/>
    <col min="13443" max="13443" width="10.5703125" style="211" customWidth="1"/>
    <col min="13444" max="13568" width="9.140625" style="211"/>
    <col min="13569" max="13569" width="2.7109375" style="211" customWidth="1"/>
    <col min="13570" max="13570" width="9.140625" style="211"/>
    <col min="13571" max="13571" width="9.42578125" style="211" customWidth="1"/>
    <col min="13572" max="13572" width="0" style="211" hidden="1" customWidth="1"/>
    <col min="13573" max="13573" width="9.140625" style="211"/>
    <col min="13574" max="13574" width="2.42578125" style="211" customWidth="1"/>
    <col min="13575" max="13575" width="9.140625" style="211"/>
    <col min="13576" max="13576" width="9.42578125" style="211" customWidth="1"/>
    <col min="13577" max="13577" width="0" style="211" hidden="1" customWidth="1"/>
    <col min="13578" max="13578" width="9.140625" style="211"/>
    <col min="13579" max="13579" width="2.28515625" style="211" customWidth="1"/>
    <col min="13580" max="13580" width="9.140625" style="211"/>
    <col min="13581" max="13581" width="9.42578125" style="211" customWidth="1"/>
    <col min="13582" max="13582" width="0" style="211" hidden="1" customWidth="1"/>
    <col min="13583" max="13583" width="9.140625" style="211"/>
    <col min="13584" max="13584" width="2.5703125" style="211" customWidth="1"/>
    <col min="13585" max="13585" width="9.140625" style="211"/>
    <col min="13586" max="13586" width="9.5703125" style="211" customWidth="1"/>
    <col min="13587" max="13587" width="0" style="211" hidden="1" customWidth="1"/>
    <col min="13588" max="13588" width="9.140625" style="211"/>
    <col min="13589" max="13589" width="2.7109375" style="211" customWidth="1"/>
    <col min="13590" max="13591" width="9.140625" style="211"/>
    <col min="13592" max="13592" width="3.140625" style="211" customWidth="1"/>
    <col min="13593" max="13593" width="4" style="211" customWidth="1"/>
    <col min="13594" max="13594" width="9.42578125" style="211" customWidth="1"/>
    <col min="13595" max="13596" width="9.140625" style="211"/>
    <col min="13597" max="13597" width="10.5703125" style="211" customWidth="1"/>
    <col min="13598" max="13598" width="9.140625" style="211"/>
    <col min="13599" max="13599" width="4" style="211" customWidth="1"/>
    <col min="13600" max="13600" width="9.42578125" style="211" customWidth="1"/>
    <col min="13601" max="13602" width="9.140625" style="211"/>
    <col min="13603" max="13603" width="10.5703125" style="211" customWidth="1"/>
    <col min="13604" max="13604" width="9.140625" style="211"/>
    <col min="13605" max="13605" width="4" style="211" customWidth="1"/>
    <col min="13606" max="13606" width="9.42578125" style="211" customWidth="1"/>
    <col min="13607" max="13608" width="9.140625" style="211"/>
    <col min="13609" max="13609" width="10.5703125" style="211" customWidth="1"/>
    <col min="13610" max="13610" width="9.140625" style="211"/>
    <col min="13611" max="13611" width="4" style="211" customWidth="1"/>
    <col min="13612" max="13612" width="9.42578125" style="211" customWidth="1"/>
    <col min="13613" max="13614" width="9.140625" style="211"/>
    <col min="13615" max="13615" width="10.5703125" style="211" customWidth="1"/>
    <col min="13616" max="13616" width="9.140625" style="211"/>
    <col min="13617" max="13617" width="4" style="211" customWidth="1"/>
    <col min="13618" max="13618" width="9.42578125" style="211" customWidth="1"/>
    <col min="13619" max="13620" width="9.140625" style="211"/>
    <col min="13621" max="13621" width="10.5703125" style="211" customWidth="1"/>
    <col min="13622" max="13622" width="9.140625" style="211"/>
    <col min="13623" max="13623" width="4" style="211" customWidth="1"/>
    <col min="13624" max="13624" width="9.42578125" style="211" customWidth="1"/>
    <col min="13625" max="13626" width="9.140625" style="211"/>
    <col min="13627" max="13627" width="10.5703125" style="211" customWidth="1"/>
    <col min="13628" max="13628" width="9.140625" style="211"/>
    <col min="13629" max="13629" width="4" style="211" customWidth="1"/>
    <col min="13630" max="13630" width="9.42578125" style="211" customWidth="1"/>
    <col min="13631" max="13632" width="9.140625" style="211"/>
    <col min="13633" max="13633" width="10.5703125" style="211" customWidth="1"/>
    <col min="13634" max="13634" width="9.140625" style="211"/>
    <col min="13635" max="13635" width="4" style="211" customWidth="1"/>
    <col min="13636" max="13636" width="9.42578125" style="211" customWidth="1"/>
    <col min="13637" max="13638" width="9.140625" style="211"/>
    <col min="13639" max="13639" width="10.5703125" style="211" customWidth="1"/>
    <col min="13640" max="13640" width="9.140625" style="211"/>
    <col min="13641" max="13641" width="4" style="211" customWidth="1"/>
    <col min="13642" max="13642" width="9.42578125" style="211" customWidth="1"/>
    <col min="13643" max="13644" width="9.140625" style="211"/>
    <col min="13645" max="13645" width="10.5703125" style="211" customWidth="1"/>
    <col min="13646" max="13646" width="9.140625" style="211"/>
    <col min="13647" max="13647" width="4" style="211" customWidth="1"/>
    <col min="13648" max="13648" width="9.42578125" style="211" customWidth="1"/>
    <col min="13649" max="13650" width="9.140625" style="211"/>
    <col min="13651" max="13651" width="10.5703125" style="211" customWidth="1"/>
    <col min="13652" max="13652" width="9.140625" style="211"/>
    <col min="13653" max="13653" width="4" style="211" customWidth="1"/>
    <col min="13654" max="13654" width="9.42578125" style="211" customWidth="1"/>
    <col min="13655" max="13656" width="9.140625" style="211"/>
    <col min="13657" max="13657" width="10.5703125" style="211" customWidth="1"/>
    <col min="13658" max="13658" width="9.140625" style="211"/>
    <col min="13659" max="13659" width="4" style="211" customWidth="1"/>
    <col min="13660" max="13660" width="9.42578125" style="211" customWidth="1"/>
    <col min="13661" max="13662" width="9.140625" style="211"/>
    <col min="13663" max="13663" width="10.5703125" style="211" customWidth="1"/>
    <col min="13664" max="13664" width="9.140625" style="211"/>
    <col min="13665" max="13665" width="4" style="211" customWidth="1"/>
    <col min="13666" max="13666" width="9.42578125" style="211" customWidth="1"/>
    <col min="13667" max="13668" width="9.140625" style="211"/>
    <col min="13669" max="13669" width="10.5703125" style="211" customWidth="1"/>
    <col min="13670" max="13670" width="9.140625" style="211"/>
    <col min="13671" max="13671" width="4" style="211" customWidth="1"/>
    <col min="13672" max="13672" width="12.42578125" style="211" customWidth="1"/>
    <col min="13673" max="13674" width="9.140625" style="211"/>
    <col min="13675" max="13675" width="10.5703125" style="211" customWidth="1"/>
    <col min="13676" max="13676" width="9.140625" style="211"/>
    <col min="13677" max="13677" width="4" style="211" customWidth="1"/>
    <col min="13678" max="13678" width="12.42578125" style="211" customWidth="1"/>
    <col min="13679" max="13680" width="9.140625" style="211"/>
    <col min="13681" max="13681" width="10.5703125" style="211" customWidth="1"/>
    <col min="13682" max="13682" width="9.140625" style="211"/>
    <col min="13683" max="13683" width="4" style="211" customWidth="1"/>
    <col min="13684" max="13684" width="12.42578125" style="211" customWidth="1"/>
    <col min="13685" max="13686" width="9.140625" style="211"/>
    <col min="13687" max="13687" width="10.5703125" style="211" customWidth="1"/>
    <col min="13688" max="13688" width="9.140625" style="211"/>
    <col min="13689" max="13689" width="4" style="211" customWidth="1"/>
    <col min="13690" max="13690" width="12.42578125" style="211" customWidth="1"/>
    <col min="13691" max="13692" width="9.140625" style="211"/>
    <col min="13693" max="13693" width="10.5703125" style="211" customWidth="1"/>
    <col min="13694" max="13694" width="9.140625" style="211"/>
    <col min="13695" max="13695" width="4" style="211" customWidth="1"/>
    <col min="13696" max="13696" width="12.42578125" style="211" customWidth="1"/>
    <col min="13697" max="13698" width="9.140625" style="211"/>
    <col min="13699" max="13699" width="10.5703125" style="211" customWidth="1"/>
    <col min="13700" max="13824" width="9.140625" style="211"/>
    <col min="13825" max="13825" width="2.7109375" style="211" customWidth="1"/>
    <col min="13826" max="13826" width="9.140625" style="211"/>
    <col min="13827" max="13827" width="9.42578125" style="211" customWidth="1"/>
    <col min="13828" max="13828" width="0" style="211" hidden="1" customWidth="1"/>
    <col min="13829" max="13829" width="9.140625" style="211"/>
    <col min="13830" max="13830" width="2.42578125" style="211" customWidth="1"/>
    <col min="13831" max="13831" width="9.140625" style="211"/>
    <col min="13832" max="13832" width="9.42578125" style="211" customWidth="1"/>
    <col min="13833" max="13833" width="0" style="211" hidden="1" customWidth="1"/>
    <col min="13834" max="13834" width="9.140625" style="211"/>
    <col min="13835" max="13835" width="2.28515625" style="211" customWidth="1"/>
    <col min="13836" max="13836" width="9.140625" style="211"/>
    <col min="13837" max="13837" width="9.42578125" style="211" customWidth="1"/>
    <col min="13838" max="13838" width="0" style="211" hidden="1" customWidth="1"/>
    <col min="13839" max="13839" width="9.140625" style="211"/>
    <col min="13840" max="13840" width="2.5703125" style="211" customWidth="1"/>
    <col min="13841" max="13841" width="9.140625" style="211"/>
    <col min="13842" max="13842" width="9.5703125" style="211" customWidth="1"/>
    <col min="13843" max="13843" width="0" style="211" hidden="1" customWidth="1"/>
    <col min="13844" max="13844" width="9.140625" style="211"/>
    <col min="13845" max="13845" width="2.7109375" style="211" customWidth="1"/>
    <col min="13846" max="13847" width="9.140625" style="211"/>
    <col min="13848" max="13848" width="3.140625" style="211" customWidth="1"/>
    <col min="13849" max="13849" width="4" style="211" customWidth="1"/>
    <col min="13850" max="13850" width="9.42578125" style="211" customWidth="1"/>
    <col min="13851" max="13852" width="9.140625" style="211"/>
    <col min="13853" max="13853" width="10.5703125" style="211" customWidth="1"/>
    <col min="13854" max="13854" width="9.140625" style="211"/>
    <col min="13855" max="13855" width="4" style="211" customWidth="1"/>
    <col min="13856" max="13856" width="9.42578125" style="211" customWidth="1"/>
    <col min="13857" max="13858" width="9.140625" style="211"/>
    <col min="13859" max="13859" width="10.5703125" style="211" customWidth="1"/>
    <col min="13860" max="13860" width="9.140625" style="211"/>
    <col min="13861" max="13861" width="4" style="211" customWidth="1"/>
    <col min="13862" max="13862" width="9.42578125" style="211" customWidth="1"/>
    <col min="13863" max="13864" width="9.140625" style="211"/>
    <col min="13865" max="13865" width="10.5703125" style="211" customWidth="1"/>
    <col min="13866" max="13866" width="9.140625" style="211"/>
    <col min="13867" max="13867" width="4" style="211" customWidth="1"/>
    <col min="13868" max="13868" width="9.42578125" style="211" customWidth="1"/>
    <col min="13869" max="13870" width="9.140625" style="211"/>
    <col min="13871" max="13871" width="10.5703125" style="211" customWidth="1"/>
    <col min="13872" max="13872" width="9.140625" style="211"/>
    <col min="13873" max="13873" width="4" style="211" customWidth="1"/>
    <col min="13874" max="13874" width="9.42578125" style="211" customWidth="1"/>
    <col min="13875" max="13876" width="9.140625" style="211"/>
    <col min="13877" max="13877" width="10.5703125" style="211" customWidth="1"/>
    <col min="13878" max="13878" width="9.140625" style="211"/>
    <col min="13879" max="13879" width="4" style="211" customWidth="1"/>
    <col min="13880" max="13880" width="9.42578125" style="211" customWidth="1"/>
    <col min="13881" max="13882" width="9.140625" style="211"/>
    <col min="13883" max="13883" width="10.5703125" style="211" customWidth="1"/>
    <col min="13884" max="13884" width="9.140625" style="211"/>
    <col min="13885" max="13885" width="4" style="211" customWidth="1"/>
    <col min="13886" max="13886" width="9.42578125" style="211" customWidth="1"/>
    <col min="13887" max="13888" width="9.140625" style="211"/>
    <col min="13889" max="13889" width="10.5703125" style="211" customWidth="1"/>
    <col min="13890" max="13890" width="9.140625" style="211"/>
    <col min="13891" max="13891" width="4" style="211" customWidth="1"/>
    <col min="13892" max="13892" width="9.42578125" style="211" customWidth="1"/>
    <col min="13893" max="13894" width="9.140625" style="211"/>
    <col min="13895" max="13895" width="10.5703125" style="211" customWidth="1"/>
    <col min="13896" max="13896" width="9.140625" style="211"/>
    <col min="13897" max="13897" width="4" style="211" customWidth="1"/>
    <col min="13898" max="13898" width="9.42578125" style="211" customWidth="1"/>
    <col min="13899" max="13900" width="9.140625" style="211"/>
    <col min="13901" max="13901" width="10.5703125" style="211" customWidth="1"/>
    <col min="13902" max="13902" width="9.140625" style="211"/>
    <col min="13903" max="13903" width="4" style="211" customWidth="1"/>
    <col min="13904" max="13904" width="9.42578125" style="211" customWidth="1"/>
    <col min="13905" max="13906" width="9.140625" style="211"/>
    <col min="13907" max="13907" width="10.5703125" style="211" customWidth="1"/>
    <col min="13908" max="13908" width="9.140625" style="211"/>
    <col min="13909" max="13909" width="4" style="211" customWidth="1"/>
    <col min="13910" max="13910" width="9.42578125" style="211" customWidth="1"/>
    <col min="13911" max="13912" width="9.140625" style="211"/>
    <col min="13913" max="13913" width="10.5703125" style="211" customWidth="1"/>
    <col min="13914" max="13914" width="9.140625" style="211"/>
    <col min="13915" max="13915" width="4" style="211" customWidth="1"/>
    <col min="13916" max="13916" width="9.42578125" style="211" customWidth="1"/>
    <col min="13917" max="13918" width="9.140625" style="211"/>
    <col min="13919" max="13919" width="10.5703125" style="211" customWidth="1"/>
    <col min="13920" max="13920" width="9.140625" style="211"/>
    <col min="13921" max="13921" width="4" style="211" customWidth="1"/>
    <col min="13922" max="13922" width="9.42578125" style="211" customWidth="1"/>
    <col min="13923" max="13924" width="9.140625" style="211"/>
    <col min="13925" max="13925" width="10.5703125" style="211" customWidth="1"/>
    <col min="13926" max="13926" width="9.140625" style="211"/>
    <col min="13927" max="13927" width="4" style="211" customWidth="1"/>
    <col min="13928" max="13928" width="12.42578125" style="211" customWidth="1"/>
    <col min="13929" max="13930" width="9.140625" style="211"/>
    <col min="13931" max="13931" width="10.5703125" style="211" customWidth="1"/>
    <col min="13932" max="13932" width="9.140625" style="211"/>
    <col min="13933" max="13933" width="4" style="211" customWidth="1"/>
    <col min="13934" max="13934" width="12.42578125" style="211" customWidth="1"/>
    <col min="13935" max="13936" width="9.140625" style="211"/>
    <col min="13937" max="13937" width="10.5703125" style="211" customWidth="1"/>
    <col min="13938" max="13938" width="9.140625" style="211"/>
    <col min="13939" max="13939" width="4" style="211" customWidth="1"/>
    <col min="13940" max="13940" width="12.42578125" style="211" customWidth="1"/>
    <col min="13941" max="13942" width="9.140625" style="211"/>
    <col min="13943" max="13943" width="10.5703125" style="211" customWidth="1"/>
    <col min="13944" max="13944" width="9.140625" style="211"/>
    <col min="13945" max="13945" width="4" style="211" customWidth="1"/>
    <col min="13946" max="13946" width="12.42578125" style="211" customWidth="1"/>
    <col min="13947" max="13948" width="9.140625" style="211"/>
    <col min="13949" max="13949" width="10.5703125" style="211" customWidth="1"/>
    <col min="13950" max="13950" width="9.140625" style="211"/>
    <col min="13951" max="13951" width="4" style="211" customWidth="1"/>
    <col min="13952" max="13952" width="12.42578125" style="211" customWidth="1"/>
    <col min="13953" max="13954" width="9.140625" style="211"/>
    <col min="13955" max="13955" width="10.5703125" style="211" customWidth="1"/>
    <col min="13956" max="14080" width="9.140625" style="211"/>
    <col min="14081" max="14081" width="2.7109375" style="211" customWidth="1"/>
    <col min="14082" max="14082" width="9.140625" style="211"/>
    <col min="14083" max="14083" width="9.42578125" style="211" customWidth="1"/>
    <col min="14084" max="14084" width="0" style="211" hidden="1" customWidth="1"/>
    <col min="14085" max="14085" width="9.140625" style="211"/>
    <col min="14086" max="14086" width="2.42578125" style="211" customWidth="1"/>
    <col min="14087" max="14087" width="9.140625" style="211"/>
    <col min="14088" max="14088" width="9.42578125" style="211" customWidth="1"/>
    <col min="14089" max="14089" width="0" style="211" hidden="1" customWidth="1"/>
    <col min="14090" max="14090" width="9.140625" style="211"/>
    <col min="14091" max="14091" width="2.28515625" style="211" customWidth="1"/>
    <col min="14092" max="14092" width="9.140625" style="211"/>
    <col min="14093" max="14093" width="9.42578125" style="211" customWidth="1"/>
    <col min="14094" max="14094" width="0" style="211" hidden="1" customWidth="1"/>
    <col min="14095" max="14095" width="9.140625" style="211"/>
    <col min="14096" max="14096" width="2.5703125" style="211" customWidth="1"/>
    <col min="14097" max="14097" width="9.140625" style="211"/>
    <col min="14098" max="14098" width="9.5703125" style="211" customWidth="1"/>
    <col min="14099" max="14099" width="0" style="211" hidden="1" customWidth="1"/>
    <col min="14100" max="14100" width="9.140625" style="211"/>
    <col min="14101" max="14101" width="2.7109375" style="211" customWidth="1"/>
    <col min="14102" max="14103" width="9.140625" style="211"/>
    <col min="14104" max="14104" width="3.140625" style="211" customWidth="1"/>
    <col min="14105" max="14105" width="4" style="211" customWidth="1"/>
    <col min="14106" max="14106" width="9.42578125" style="211" customWidth="1"/>
    <col min="14107" max="14108" width="9.140625" style="211"/>
    <col min="14109" max="14109" width="10.5703125" style="211" customWidth="1"/>
    <col min="14110" max="14110" width="9.140625" style="211"/>
    <col min="14111" max="14111" width="4" style="211" customWidth="1"/>
    <col min="14112" max="14112" width="9.42578125" style="211" customWidth="1"/>
    <col min="14113" max="14114" width="9.140625" style="211"/>
    <col min="14115" max="14115" width="10.5703125" style="211" customWidth="1"/>
    <col min="14116" max="14116" width="9.140625" style="211"/>
    <col min="14117" max="14117" width="4" style="211" customWidth="1"/>
    <col min="14118" max="14118" width="9.42578125" style="211" customWidth="1"/>
    <col min="14119" max="14120" width="9.140625" style="211"/>
    <col min="14121" max="14121" width="10.5703125" style="211" customWidth="1"/>
    <col min="14122" max="14122" width="9.140625" style="211"/>
    <col min="14123" max="14123" width="4" style="211" customWidth="1"/>
    <col min="14124" max="14124" width="9.42578125" style="211" customWidth="1"/>
    <col min="14125" max="14126" width="9.140625" style="211"/>
    <col min="14127" max="14127" width="10.5703125" style="211" customWidth="1"/>
    <col min="14128" max="14128" width="9.140625" style="211"/>
    <col min="14129" max="14129" width="4" style="211" customWidth="1"/>
    <col min="14130" max="14130" width="9.42578125" style="211" customWidth="1"/>
    <col min="14131" max="14132" width="9.140625" style="211"/>
    <col min="14133" max="14133" width="10.5703125" style="211" customWidth="1"/>
    <col min="14134" max="14134" width="9.140625" style="211"/>
    <col min="14135" max="14135" width="4" style="211" customWidth="1"/>
    <col min="14136" max="14136" width="9.42578125" style="211" customWidth="1"/>
    <col min="14137" max="14138" width="9.140625" style="211"/>
    <col min="14139" max="14139" width="10.5703125" style="211" customWidth="1"/>
    <col min="14140" max="14140" width="9.140625" style="211"/>
    <col min="14141" max="14141" width="4" style="211" customWidth="1"/>
    <col min="14142" max="14142" width="9.42578125" style="211" customWidth="1"/>
    <col min="14143" max="14144" width="9.140625" style="211"/>
    <col min="14145" max="14145" width="10.5703125" style="211" customWidth="1"/>
    <col min="14146" max="14146" width="9.140625" style="211"/>
    <col min="14147" max="14147" width="4" style="211" customWidth="1"/>
    <col min="14148" max="14148" width="9.42578125" style="211" customWidth="1"/>
    <col min="14149" max="14150" width="9.140625" style="211"/>
    <col min="14151" max="14151" width="10.5703125" style="211" customWidth="1"/>
    <col min="14152" max="14152" width="9.140625" style="211"/>
    <col min="14153" max="14153" width="4" style="211" customWidth="1"/>
    <col min="14154" max="14154" width="9.42578125" style="211" customWidth="1"/>
    <col min="14155" max="14156" width="9.140625" style="211"/>
    <col min="14157" max="14157" width="10.5703125" style="211" customWidth="1"/>
    <col min="14158" max="14158" width="9.140625" style="211"/>
    <col min="14159" max="14159" width="4" style="211" customWidth="1"/>
    <col min="14160" max="14160" width="9.42578125" style="211" customWidth="1"/>
    <col min="14161" max="14162" width="9.140625" style="211"/>
    <col min="14163" max="14163" width="10.5703125" style="211" customWidth="1"/>
    <col min="14164" max="14164" width="9.140625" style="211"/>
    <col min="14165" max="14165" width="4" style="211" customWidth="1"/>
    <col min="14166" max="14166" width="9.42578125" style="211" customWidth="1"/>
    <col min="14167" max="14168" width="9.140625" style="211"/>
    <col min="14169" max="14169" width="10.5703125" style="211" customWidth="1"/>
    <col min="14170" max="14170" width="9.140625" style="211"/>
    <col min="14171" max="14171" width="4" style="211" customWidth="1"/>
    <col min="14172" max="14172" width="9.42578125" style="211" customWidth="1"/>
    <col min="14173" max="14174" width="9.140625" style="211"/>
    <col min="14175" max="14175" width="10.5703125" style="211" customWidth="1"/>
    <col min="14176" max="14176" width="9.140625" style="211"/>
    <col min="14177" max="14177" width="4" style="211" customWidth="1"/>
    <col min="14178" max="14178" width="9.42578125" style="211" customWidth="1"/>
    <col min="14179" max="14180" width="9.140625" style="211"/>
    <col min="14181" max="14181" width="10.5703125" style="211" customWidth="1"/>
    <col min="14182" max="14182" width="9.140625" style="211"/>
    <col min="14183" max="14183" width="4" style="211" customWidth="1"/>
    <col min="14184" max="14184" width="12.42578125" style="211" customWidth="1"/>
    <col min="14185" max="14186" width="9.140625" style="211"/>
    <col min="14187" max="14187" width="10.5703125" style="211" customWidth="1"/>
    <col min="14188" max="14188" width="9.140625" style="211"/>
    <col min="14189" max="14189" width="4" style="211" customWidth="1"/>
    <col min="14190" max="14190" width="12.42578125" style="211" customWidth="1"/>
    <col min="14191" max="14192" width="9.140625" style="211"/>
    <col min="14193" max="14193" width="10.5703125" style="211" customWidth="1"/>
    <col min="14194" max="14194" width="9.140625" style="211"/>
    <col min="14195" max="14195" width="4" style="211" customWidth="1"/>
    <col min="14196" max="14196" width="12.42578125" style="211" customWidth="1"/>
    <col min="14197" max="14198" width="9.140625" style="211"/>
    <col min="14199" max="14199" width="10.5703125" style="211" customWidth="1"/>
    <col min="14200" max="14200" width="9.140625" style="211"/>
    <col min="14201" max="14201" width="4" style="211" customWidth="1"/>
    <col min="14202" max="14202" width="12.42578125" style="211" customWidth="1"/>
    <col min="14203" max="14204" width="9.140625" style="211"/>
    <col min="14205" max="14205" width="10.5703125" style="211" customWidth="1"/>
    <col min="14206" max="14206" width="9.140625" style="211"/>
    <col min="14207" max="14207" width="4" style="211" customWidth="1"/>
    <col min="14208" max="14208" width="12.42578125" style="211" customWidth="1"/>
    <col min="14209" max="14210" width="9.140625" style="211"/>
    <col min="14211" max="14211" width="10.5703125" style="211" customWidth="1"/>
    <col min="14212" max="14336" width="9.140625" style="211"/>
    <col min="14337" max="14337" width="2.7109375" style="211" customWidth="1"/>
    <col min="14338" max="14338" width="9.140625" style="211"/>
    <col min="14339" max="14339" width="9.42578125" style="211" customWidth="1"/>
    <col min="14340" max="14340" width="0" style="211" hidden="1" customWidth="1"/>
    <col min="14341" max="14341" width="9.140625" style="211"/>
    <col min="14342" max="14342" width="2.42578125" style="211" customWidth="1"/>
    <col min="14343" max="14343" width="9.140625" style="211"/>
    <col min="14344" max="14344" width="9.42578125" style="211" customWidth="1"/>
    <col min="14345" max="14345" width="0" style="211" hidden="1" customWidth="1"/>
    <col min="14346" max="14346" width="9.140625" style="211"/>
    <col min="14347" max="14347" width="2.28515625" style="211" customWidth="1"/>
    <col min="14348" max="14348" width="9.140625" style="211"/>
    <col min="14349" max="14349" width="9.42578125" style="211" customWidth="1"/>
    <col min="14350" max="14350" width="0" style="211" hidden="1" customWidth="1"/>
    <col min="14351" max="14351" width="9.140625" style="211"/>
    <col min="14352" max="14352" width="2.5703125" style="211" customWidth="1"/>
    <col min="14353" max="14353" width="9.140625" style="211"/>
    <col min="14354" max="14354" width="9.5703125" style="211" customWidth="1"/>
    <col min="14355" max="14355" width="0" style="211" hidden="1" customWidth="1"/>
    <col min="14356" max="14356" width="9.140625" style="211"/>
    <col min="14357" max="14357" width="2.7109375" style="211" customWidth="1"/>
    <col min="14358" max="14359" width="9.140625" style="211"/>
    <col min="14360" max="14360" width="3.140625" style="211" customWidth="1"/>
    <col min="14361" max="14361" width="4" style="211" customWidth="1"/>
    <col min="14362" max="14362" width="9.42578125" style="211" customWidth="1"/>
    <col min="14363" max="14364" width="9.140625" style="211"/>
    <col min="14365" max="14365" width="10.5703125" style="211" customWidth="1"/>
    <col min="14366" max="14366" width="9.140625" style="211"/>
    <col min="14367" max="14367" width="4" style="211" customWidth="1"/>
    <col min="14368" max="14368" width="9.42578125" style="211" customWidth="1"/>
    <col min="14369" max="14370" width="9.140625" style="211"/>
    <col min="14371" max="14371" width="10.5703125" style="211" customWidth="1"/>
    <col min="14372" max="14372" width="9.140625" style="211"/>
    <col min="14373" max="14373" width="4" style="211" customWidth="1"/>
    <col min="14374" max="14374" width="9.42578125" style="211" customWidth="1"/>
    <col min="14375" max="14376" width="9.140625" style="211"/>
    <col min="14377" max="14377" width="10.5703125" style="211" customWidth="1"/>
    <col min="14378" max="14378" width="9.140625" style="211"/>
    <col min="14379" max="14379" width="4" style="211" customWidth="1"/>
    <col min="14380" max="14380" width="9.42578125" style="211" customWidth="1"/>
    <col min="14381" max="14382" width="9.140625" style="211"/>
    <col min="14383" max="14383" width="10.5703125" style="211" customWidth="1"/>
    <col min="14384" max="14384" width="9.140625" style="211"/>
    <col min="14385" max="14385" width="4" style="211" customWidth="1"/>
    <col min="14386" max="14386" width="9.42578125" style="211" customWidth="1"/>
    <col min="14387" max="14388" width="9.140625" style="211"/>
    <col min="14389" max="14389" width="10.5703125" style="211" customWidth="1"/>
    <col min="14390" max="14390" width="9.140625" style="211"/>
    <col min="14391" max="14391" width="4" style="211" customWidth="1"/>
    <col min="14392" max="14392" width="9.42578125" style="211" customWidth="1"/>
    <col min="14393" max="14394" width="9.140625" style="211"/>
    <col min="14395" max="14395" width="10.5703125" style="211" customWidth="1"/>
    <col min="14396" max="14396" width="9.140625" style="211"/>
    <col min="14397" max="14397" width="4" style="211" customWidth="1"/>
    <col min="14398" max="14398" width="9.42578125" style="211" customWidth="1"/>
    <col min="14399" max="14400" width="9.140625" style="211"/>
    <col min="14401" max="14401" width="10.5703125" style="211" customWidth="1"/>
    <col min="14402" max="14402" width="9.140625" style="211"/>
    <col min="14403" max="14403" width="4" style="211" customWidth="1"/>
    <col min="14404" max="14404" width="9.42578125" style="211" customWidth="1"/>
    <col min="14405" max="14406" width="9.140625" style="211"/>
    <col min="14407" max="14407" width="10.5703125" style="211" customWidth="1"/>
    <col min="14408" max="14408" width="9.140625" style="211"/>
    <col min="14409" max="14409" width="4" style="211" customWidth="1"/>
    <col min="14410" max="14410" width="9.42578125" style="211" customWidth="1"/>
    <col min="14411" max="14412" width="9.140625" style="211"/>
    <col min="14413" max="14413" width="10.5703125" style="211" customWidth="1"/>
    <col min="14414" max="14414" width="9.140625" style="211"/>
    <col min="14415" max="14415" width="4" style="211" customWidth="1"/>
    <col min="14416" max="14416" width="9.42578125" style="211" customWidth="1"/>
    <col min="14417" max="14418" width="9.140625" style="211"/>
    <col min="14419" max="14419" width="10.5703125" style="211" customWidth="1"/>
    <col min="14420" max="14420" width="9.140625" style="211"/>
    <col min="14421" max="14421" width="4" style="211" customWidth="1"/>
    <col min="14422" max="14422" width="9.42578125" style="211" customWidth="1"/>
    <col min="14423" max="14424" width="9.140625" style="211"/>
    <col min="14425" max="14425" width="10.5703125" style="211" customWidth="1"/>
    <col min="14426" max="14426" width="9.140625" style="211"/>
    <col min="14427" max="14427" width="4" style="211" customWidth="1"/>
    <col min="14428" max="14428" width="9.42578125" style="211" customWidth="1"/>
    <col min="14429" max="14430" width="9.140625" style="211"/>
    <col min="14431" max="14431" width="10.5703125" style="211" customWidth="1"/>
    <col min="14432" max="14432" width="9.140625" style="211"/>
    <col min="14433" max="14433" width="4" style="211" customWidth="1"/>
    <col min="14434" max="14434" width="9.42578125" style="211" customWidth="1"/>
    <col min="14435" max="14436" width="9.140625" style="211"/>
    <col min="14437" max="14437" width="10.5703125" style="211" customWidth="1"/>
    <col min="14438" max="14438" width="9.140625" style="211"/>
    <col min="14439" max="14439" width="4" style="211" customWidth="1"/>
    <col min="14440" max="14440" width="12.42578125" style="211" customWidth="1"/>
    <col min="14441" max="14442" width="9.140625" style="211"/>
    <col min="14443" max="14443" width="10.5703125" style="211" customWidth="1"/>
    <col min="14444" max="14444" width="9.140625" style="211"/>
    <col min="14445" max="14445" width="4" style="211" customWidth="1"/>
    <col min="14446" max="14446" width="12.42578125" style="211" customWidth="1"/>
    <col min="14447" max="14448" width="9.140625" style="211"/>
    <col min="14449" max="14449" width="10.5703125" style="211" customWidth="1"/>
    <col min="14450" max="14450" width="9.140625" style="211"/>
    <col min="14451" max="14451" width="4" style="211" customWidth="1"/>
    <col min="14452" max="14452" width="12.42578125" style="211" customWidth="1"/>
    <col min="14453" max="14454" width="9.140625" style="211"/>
    <col min="14455" max="14455" width="10.5703125" style="211" customWidth="1"/>
    <col min="14456" max="14456" width="9.140625" style="211"/>
    <col min="14457" max="14457" width="4" style="211" customWidth="1"/>
    <col min="14458" max="14458" width="12.42578125" style="211" customWidth="1"/>
    <col min="14459" max="14460" width="9.140625" style="211"/>
    <col min="14461" max="14461" width="10.5703125" style="211" customWidth="1"/>
    <col min="14462" max="14462" width="9.140625" style="211"/>
    <col min="14463" max="14463" width="4" style="211" customWidth="1"/>
    <col min="14464" max="14464" width="12.42578125" style="211" customWidth="1"/>
    <col min="14465" max="14466" width="9.140625" style="211"/>
    <col min="14467" max="14467" width="10.5703125" style="211" customWidth="1"/>
    <col min="14468" max="14592" width="9.140625" style="211"/>
    <col min="14593" max="14593" width="2.7109375" style="211" customWidth="1"/>
    <col min="14594" max="14594" width="9.140625" style="211"/>
    <col min="14595" max="14595" width="9.42578125" style="211" customWidth="1"/>
    <col min="14596" max="14596" width="0" style="211" hidden="1" customWidth="1"/>
    <col min="14597" max="14597" width="9.140625" style="211"/>
    <col min="14598" max="14598" width="2.42578125" style="211" customWidth="1"/>
    <col min="14599" max="14599" width="9.140625" style="211"/>
    <col min="14600" max="14600" width="9.42578125" style="211" customWidth="1"/>
    <col min="14601" max="14601" width="0" style="211" hidden="1" customWidth="1"/>
    <col min="14602" max="14602" width="9.140625" style="211"/>
    <col min="14603" max="14603" width="2.28515625" style="211" customWidth="1"/>
    <col min="14604" max="14604" width="9.140625" style="211"/>
    <col min="14605" max="14605" width="9.42578125" style="211" customWidth="1"/>
    <col min="14606" max="14606" width="0" style="211" hidden="1" customWidth="1"/>
    <col min="14607" max="14607" width="9.140625" style="211"/>
    <col min="14608" max="14608" width="2.5703125" style="211" customWidth="1"/>
    <col min="14609" max="14609" width="9.140625" style="211"/>
    <col min="14610" max="14610" width="9.5703125" style="211" customWidth="1"/>
    <col min="14611" max="14611" width="0" style="211" hidden="1" customWidth="1"/>
    <col min="14612" max="14612" width="9.140625" style="211"/>
    <col min="14613" max="14613" width="2.7109375" style="211" customWidth="1"/>
    <col min="14614" max="14615" width="9.140625" style="211"/>
    <col min="14616" max="14616" width="3.140625" style="211" customWidth="1"/>
    <col min="14617" max="14617" width="4" style="211" customWidth="1"/>
    <col min="14618" max="14618" width="9.42578125" style="211" customWidth="1"/>
    <col min="14619" max="14620" width="9.140625" style="211"/>
    <col min="14621" max="14621" width="10.5703125" style="211" customWidth="1"/>
    <col min="14622" max="14622" width="9.140625" style="211"/>
    <col min="14623" max="14623" width="4" style="211" customWidth="1"/>
    <col min="14624" max="14624" width="9.42578125" style="211" customWidth="1"/>
    <col min="14625" max="14626" width="9.140625" style="211"/>
    <col min="14627" max="14627" width="10.5703125" style="211" customWidth="1"/>
    <col min="14628" max="14628" width="9.140625" style="211"/>
    <col min="14629" max="14629" width="4" style="211" customWidth="1"/>
    <col min="14630" max="14630" width="9.42578125" style="211" customWidth="1"/>
    <col min="14631" max="14632" width="9.140625" style="211"/>
    <col min="14633" max="14633" width="10.5703125" style="211" customWidth="1"/>
    <col min="14634" max="14634" width="9.140625" style="211"/>
    <col min="14635" max="14635" width="4" style="211" customWidth="1"/>
    <col min="14636" max="14636" width="9.42578125" style="211" customWidth="1"/>
    <col min="14637" max="14638" width="9.140625" style="211"/>
    <col min="14639" max="14639" width="10.5703125" style="211" customWidth="1"/>
    <col min="14640" max="14640" width="9.140625" style="211"/>
    <col min="14641" max="14641" width="4" style="211" customWidth="1"/>
    <col min="14642" max="14642" width="9.42578125" style="211" customWidth="1"/>
    <col min="14643" max="14644" width="9.140625" style="211"/>
    <col min="14645" max="14645" width="10.5703125" style="211" customWidth="1"/>
    <col min="14646" max="14646" width="9.140625" style="211"/>
    <col min="14647" max="14647" width="4" style="211" customWidth="1"/>
    <col min="14648" max="14648" width="9.42578125" style="211" customWidth="1"/>
    <col min="14649" max="14650" width="9.140625" style="211"/>
    <col min="14651" max="14651" width="10.5703125" style="211" customWidth="1"/>
    <col min="14652" max="14652" width="9.140625" style="211"/>
    <col min="14653" max="14653" width="4" style="211" customWidth="1"/>
    <col min="14654" max="14654" width="9.42578125" style="211" customWidth="1"/>
    <col min="14655" max="14656" width="9.140625" style="211"/>
    <col min="14657" max="14657" width="10.5703125" style="211" customWidth="1"/>
    <col min="14658" max="14658" width="9.140625" style="211"/>
    <col min="14659" max="14659" width="4" style="211" customWidth="1"/>
    <col min="14660" max="14660" width="9.42578125" style="211" customWidth="1"/>
    <col min="14661" max="14662" width="9.140625" style="211"/>
    <col min="14663" max="14663" width="10.5703125" style="211" customWidth="1"/>
    <col min="14664" max="14664" width="9.140625" style="211"/>
    <col min="14665" max="14665" width="4" style="211" customWidth="1"/>
    <col min="14666" max="14666" width="9.42578125" style="211" customWidth="1"/>
    <col min="14667" max="14668" width="9.140625" style="211"/>
    <col min="14669" max="14669" width="10.5703125" style="211" customWidth="1"/>
    <col min="14670" max="14670" width="9.140625" style="211"/>
    <col min="14671" max="14671" width="4" style="211" customWidth="1"/>
    <col min="14672" max="14672" width="9.42578125" style="211" customWidth="1"/>
    <col min="14673" max="14674" width="9.140625" style="211"/>
    <col min="14675" max="14675" width="10.5703125" style="211" customWidth="1"/>
    <col min="14676" max="14676" width="9.140625" style="211"/>
    <col min="14677" max="14677" width="4" style="211" customWidth="1"/>
    <col min="14678" max="14678" width="9.42578125" style="211" customWidth="1"/>
    <col min="14679" max="14680" width="9.140625" style="211"/>
    <col min="14681" max="14681" width="10.5703125" style="211" customWidth="1"/>
    <col min="14682" max="14682" width="9.140625" style="211"/>
    <col min="14683" max="14683" width="4" style="211" customWidth="1"/>
    <col min="14684" max="14684" width="9.42578125" style="211" customWidth="1"/>
    <col min="14685" max="14686" width="9.140625" style="211"/>
    <col min="14687" max="14687" width="10.5703125" style="211" customWidth="1"/>
    <col min="14688" max="14688" width="9.140625" style="211"/>
    <col min="14689" max="14689" width="4" style="211" customWidth="1"/>
    <col min="14690" max="14690" width="9.42578125" style="211" customWidth="1"/>
    <col min="14691" max="14692" width="9.140625" style="211"/>
    <col min="14693" max="14693" width="10.5703125" style="211" customWidth="1"/>
    <col min="14694" max="14694" width="9.140625" style="211"/>
    <col min="14695" max="14695" width="4" style="211" customWidth="1"/>
    <col min="14696" max="14696" width="12.42578125" style="211" customWidth="1"/>
    <col min="14697" max="14698" width="9.140625" style="211"/>
    <col min="14699" max="14699" width="10.5703125" style="211" customWidth="1"/>
    <col min="14700" max="14700" width="9.140625" style="211"/>
    <col min="14701" max="14701" width="4" style="211" customWidth="1"/>
    <col min="14702" max="14702" width="12.42578125" style="211" customWidth="1"/>
    <col min="14703" max="14704" width="9.140625" style="211"/>
    <col min="14705" max="14705" width="10.5703125" style="211" customWidth="1"/>
    <col min="14706" max="14706" width="9.140625" style="211"/>
    <col min="14707" max="14707" width="4" style="211" customWidth="1"/>
    <col min="14708" max="14708" width="12.42578125" style="211" customWidth="1"/>
    <col min="14709" max="14710" width="9.140625" style="211"/>
    <col min="14711" max="14711" width="10.5703125" style="211" customWidth="1"/>
    <col min="14712" max="14712" width="9.140625" style="211"/>
    <col min="14713" max="14713" width="4" style="211" customWidth="1"/>
    <col min="14714" max="14714" width="12.42578125" style="211" customWidth="1"/>
    <col min="14715" max="14716" width="9.140625" style="211"/>
    <col min="14717" max="14717" width="10.5703125" style="211" customWidth="1"/>
    <col min="14718" max="14718" width="9.140625" style="211"/>
    <col min="14719" max="14719" width="4" style="211" customWidth="1"/>
    <col min="14720" max="14720" width="12.42578125" style="211" customWidth="1"/>
    <col min="14721" max="14722" width="9.140625" style="211"/>
    <col min="14723" max="14723" width="10.5703125" style="211" customWidth="1"/>
    <col min="14724" max="14848" width="9.140625" style="211"/>
    <col min="14849" max="14849" width="2.7109375" style="211" customWidth="1"/>
    <col min="14850" max="14850" width="9.140625" style="211"/>
    <col min="14851" max="14851" width="9.42578125" style="211" customWidth="1"/>
    <col min="14852" max="14852" width="0" style="211" hidden="1" customWidth="1"/>
    <col min="14853" max="14853" width="9.140625" style="211"/>
    <col min="14854" max="14854" width="2.42578125" style="211" customWidth="1"/>
    <col min="14855" max="14855" width="9.140625" style="211"/>
    <col min="14856" max="14856" width="9.42578125" style="211" customWidth="1"/>
    <col min="14857" max="14857" width="0" style="211" hidden="1" customWidth="1"/>
    <col min="14858" max="14858" width="9.140625" style="211"/>
    <col min="14859" max="14859" width="2.28515625" style="211" customWidth="1"/>
    <col min="14860" max="14860" width="9.140625" style="211"/>
    <col min="14861" max="14861" width="9.42578125" style="211" customWidth="1"/>
    <col min="14862" max="14862" width="0" style="211" hidden="1" customWidth="1"/>
    <col min="14863" max="14863" width="9.140625" style="211"/>
    <col min="14864" max="14864" width="2.5703125" style="211" customWidth="1"/>
    <col min="14865" max="14865" width="9.140625" style="211"/>
    <col min="14866" max="14866" width="9.5703125" style="211" customWidth="1"/>
    <col min="14867" max="14867" width="0" style="211" hidden="1" customWidth="1"/>
    <col min="14868" max="14868" width="9.140625" style="211"/>
    <col min="14869" max="14869" width="2.7109375" style="211" customWidth="1"/>
    <col min="14870" max="14871" width="9.140625" style="211"/>
    <col min="14872" max="14872" width="3.140625" style="211" customWidth="1"/>
    <col min="14873" max="14873" width="4" style="211" customWidth="1"/>
    <col min="14874" max="14874" width="9.42578125" style="211" customWidth="1"/>
    <col min="14875" max="14876" width="9.140625" style="211"/>
    <col min="14877" max="14877" width="10.5703125" style="211" customWidth="1"/>
    <col min="14878" max="14878" width="9.140625" style="211"/>
    <col min="14879" max="14879" width="4" style="211" customWidth="1"/>
    <col min="14880" max="14880" width="9.42578125" style="211" customWidth="1"/>
    <col min="14881" max="14882" width="9.140625" style="211"/>
    <col min="14883" max="14883" width="10.5703125" style="211" customWidth="1"/>
    <col min="14884" max="14884" width="9.140625" style="211"/>
    <col min="14885" max="14885" width="4" style="211" customWidth="1"/>
    <col min="14886" max="14886" width="9.42578125" style="211" customWidth="1"/>
    <col min="14887" max="14888" width="9.140625" style="211"/>
    <col min="14889" max="14889" width="10.5703125" style="211" customWidth="1"/>
    <col min="14890" max="14890" width="9.140625" style="211"/>
    <col min="14891" max="14891" width="4" style="211" customWidth="1"/>
    <col min="14892" max="14892" width="9.42578125" style="211" customWidth="1"/>
    <col min="14893" max="14894" width="9.140625" style="211"/>
    <col min="14895" max="14895" width="10.5703125" style="211" customWidth="1"/>
    <col min="14896" max="14896" width="9.140625" style="211"/>
    <col min="14897" max="14897" width="4" style="211" customWidth="1"/>
    <col min="14898" max="14898" width="9.42578125" style="211" customWidth="1"/>
    <col min="14899" max="14900" width="9.140625" style="211"/>
    <col min="14901" max="14901" width="10.5703125" style="211" customWidth="1"/>
    <col min="14902" max="14902" width="9.140625" style="211"/>
    <col min="14903" max="14903" width="4" style="211" customWidth="1"/>
    <col min="14904" max="14904" width="9.42578125" style="211" customWidth="1"/>
    <col min="14905" max="14906" width="9.140625" style="211"/>
    <col min="14907" max="14907" width="10.5703125" style="211" customWidth="1"/>
    <col min="14908" max="14908" width="9.140625" style="211"/>
    <col min="14909" max="14909" width="4" style="211" customWidth="1"/>
    <col min="14910" max="14910" width="9.42578125" style="211" customWidth="1"/>
    <col min="14911" max="14912" width="9.140625" style="211"/>
    <col min="14913" max="14913" width="10.5703125" style="211" customWidth="1"/>
    <col min="14914" max="14914" width="9.140625" style="211"/>
    <col min="14915" max="14915" width="4" style="211" customWidth="1"/>
    <col min="14916" max="14916" width="9.42578125" style="211" customWidth="1"/>
    <col min="14917" max="14918" width="9.140625" style="211"/>
    <col min="14919" max="14919" width="10.5703125" style="211" customWidth="1"/>
    <col min="14920" max="14920" width="9.140625" style="211"/>
    <col min="14921" max="14921" width="4" style="211" customWidth="1"/>
    <col min="14922" max="14922" width="9.42578125" style="211" customWidth="1"/>
    <col min="14923" max="14924" width="9.140625" style="211"/>
    <col min="14925" max="14925" width="10.5703125" style="211" customWidth="1"/>
    <col min="14926" max="14926" width="9.140625" style="211"/>
    <col min="14927" max="14927" width="4" style="211" customWidth="1"/>
    <col min="14928" max="14928" width="9.42578125" style="211" customWidth="1"/>
    <col min="14929" max="14930" width="9.140625" style="211"/>
    <col min="14931" max="14931" width="10.5703125" style="211" customWidth="1"/>
    <col min="14932" max="14932" width="9.140625" style="211"/>
    <col min="14933" max="14933" width="4" style="211" customWidth="1"/>
    <col min="14934" max="14934" width="9.42578125" style="211" customWidth="1"/>
    <col min="14935" max="14936" width="9.140625" style="211"/>
    <col min="14937" max="14937" width="10.5703125" style="211" customWidth="1"/>
    <col min="14938" max="14938" width="9.140625" style="211"/>
    <col min="14939" max="14939" width="4" style="211" customWidth="1"/>
    <col min="14940" max="14940" width="9.42578125" style="211" customWidth="1"/>
    <col min="14941" max="14942" width="9.140625" style="211"/>
    <col min="14943" max="14943" width="10.5703125" style="211" customWidth="1"/>
    <col min="14944" max="14944" width="9.140625" style="211"/>
    <col min="14945" max="14945" width="4" style="211" customWidth="1"/>
    <col min="14946" max="14946" width="9.42578125" style="211" customWidth="1"/>
    <col min="14947" max="14948" width="9.140625" style="211"/>
    <col min="14949" max="14949" width="10.5703125" style="211" customWidth="1"/>
    <col min="14950" max="14950" width="9.140625" style="211"/>
    <col min="14951" max="14951" width="4" style="211" customWidth="1"/>
    <col min="14952" max="14952" width="12.42578125" style="211" customWidth="1"/>
    <col min="14953" max="14954" width="9.140625" style="211"/>
    <col min="14955" max="14955" width="10.5703125" style="211" customWidth="1"/>
    <col min="14956" max="14956" width="9.140625" style="211"/>
    <col min="14957" max="14957" width="4" style="211" customWidth="1"/>
    <col min="14958" max="14958" width="12.42578125" style="211" customWidth="1"/>
    <col min="14959" max="14960" width="9.140625" style="211"/>
    <col min="14961" max="14961" width="10.5703125" style="211" customWidth="1"/>
    <col min="14962" max="14962" width="9.140625" style="211"/>
    <col min="14963" max="14963" width="4" style="211" customWidth="1"/>
    <col min="14964" max="14964" width="12.42578125" style="211" customWidth="1"/>
    <col min="14965" max="14966" width="9.140625" style="211"/>
    <col min="14967" max="14967" width="10.5703125" style="211" customWidth="1"/>
    <col min="14968" max="14968" width="9.140625" style="211"/>
    <col min="14969" max="14969" width="4" style="211" customWidth="1"/>
    <col min="14970" max="14970" width="12.42578125" style="211" customWidth="1"/>
    <col min="14971" max="14972" width="9.140625" style="211"/>
    <col min="14973" max="14973" width="10.5703125" style="211" customWidth="1"/>
    <col min="14974" max="14974" width="9.140625" style="211"/>
    <col min="14975" max="14975" width="4" style="211" customWidth="1"/>
    <col min="14976" max="14976" width="12.42578125" style="211" customWidth="1"/>
    <col min="14977" max="14978" width="9.140625" style="211"/>
    <col min="14979" max="14979" width="10.5703125" style="211" customWidth="1"/>
    <col min="14980" max="15104" width="9.140625" style="211"/>
    <col min="15105" max="15105" width="2.7109375" style="211" customWidth="1"/>
    <col min="15106" max="15106" width="9.140625" style="211"/>
    <col min="15107" max="15107" width="9.42578125" style="211" customWidth="1"/>
    <col min="15108" max="15108" width="0" style="211" hidden="1" customWidth="1"/>
    <col min="15109" max="15109" width="9.140625" style="211"/>
    <col min="15110" max="15110" width="2.42578125" style="211" customWidth="1"/>
    <col min="15111" max="15111" width="9.140625" style="211"/>
    <col min="15112" max="15112" width="9.42578125" style="211" customWidth="1"/>
    <col min="15113" max="15113" width="0" style="211" hidden="1" customWidth="1"/>
    <col min="15114" max="15114" width="9.140625" style="211"/>
    <col min="15115" max="15115" width="2.28515625" style="211" customWidth="1"/>
    <col min="15116" max="15116" width="9.140625" style="211"/>
    <col min="15117" max="15117" width="9.42578125" style="211" customWidth="1"/>
    <col min="15118" max="15118" width="0" style="211" hidden="1" customWidth="1"/>
    <col min="15119" max="15119" width="9.140625" style="211"/>
    <col min="15120" max="15120" width="2.5703125" style="211" customWidth="1"/>
    <col min="15121" max="15121" width="9.140625" style="211"/>
    <col min="15122" max="15122" width="9.5703125" style="211" customWidth="1"/>
    <col min="15123" max="15123" width="0" style="211" hidden="1" customWidth="1"/>
    <col min="15124" max="15124" width="9.140625" style="211"/>
    <col min="15125" max="15125" width="2.7109375" style="211" customWidth="1"/>
    <col min="15126" max="15127" width="9.140625" style="211"/>
    <col min="15128" max="15128" width="3.140625" style="211" customWidth="1"/>
    <col min="15129" max="15129" width="4" style="211" customWidth="1"/>
    <col min="15130" max="15130" width="9.42578125" style="211" customWidth="1"/>
    <col min="15131" max="15132" width="9.140625" style="211"/>
    <col min="15133" max="15133" width="10.5703125" style="211" customWidth="1"/>
    <col min="15134" max="15134" width="9.140625" style="211"/>
    <col min="15135" max="15135" width="4" style="211" customWidth="1"/>
    <col min="15136" max="15136" width="9.42578125" style="211" customWidth="1"/>
    <col min="15137" max="15138" width="9.140625" style="211"/>
    <col min="15139" max="15139" width="10.5703125" style="211" customWidth="1"/>
    <col min="15140" max="15140" width="9.140625" style="211"/>
    <col min="15141" max="15141" width="4" style="211" customWidth="1"/>
    <col min="15142" max="15142" width="9.42578125" style="211" customWidth="1"/>
    <col min="15143" max="15144" width="9.140625" style="211"/>
    <col min="15145" max="15145" width="10.5703125" style="211" customWidth="1"/>
    <col min="15146" max="15146" width="9.140625" style="211"/>
    <col min="15147" max="15147" width="4" style="211" customWidth="1"/>
    <col min="15148" max="15148" width="9.42578125" style="211" customWidth="1"/>
    <col min="15149" max="15150" width="9.140625" style="211"/>
    <col min="15151" max="15151" width="10.5703125" style="211" customWidth="1"/>
    <col min="15152" max="15152" width="9.140625" style="211"/>
    <col min="15153" max="15153" width="4" style="211" customWidth="1"/>
    <col min="15154" max="15154" width="9.42578125" style="211" customWidth="1"/>
    <col min="15155" max="15156" width="9.140625" style="211"/>
    <col min="15157" max="15157" width="10.5703125" style="211" customWidth="1"/>
    <col min="15158" max="15158" width="9.140625" style="211"/>
    <col min="15159" max="15159" width="4" style="211" customWidth="1"/>
    <col min="15160" max="15160" width="9.42578125" style="211" customWidth="1"/>
    <col min="15161" max="15162" width="9.140625" style="211"/>
    <col min="15163" max="15163" width="10.5703125" style="211" customWidth="1"/>
    <col min="15164" max="15164" width="9.140625" style="211"/>
    <col min="15165" max="15165" width="4" style="211" customWidth="1"/>
    <col min="15166" max="15166" width="9.42578125" style="211" customWidth="1"/>
    <col min="15167" max="15168" width="9.140625" style="211"/>
    <col min="15169" max="15169" width="10.5703125" style="211" customWidth="1"/>
    <col min="15170" max="15170" width="9.140625" style="211"/>
    <col min="15171" max="15171" width="4" style="211" customWidth="1"/>
    <col min="15172" max="15172" width="9.42578125" style="211" customWidth="1"/>
    <col min="15173" max="15174" width="9.140625" style="211"/>
    <col min="15175" max="15175" width="10.5703125" style="211" customWidth="1"/>
    <col min="15176" max="15176" width="9.140625" style="211"/>
    <col min="15177" max="15177" width="4" style="211" customWidth="1"/>
    <col min="15178" max="15178" width="9.42578125" style="211" customWidth="1"/>
    <col min="15179" max="15180" width="9.140625" style="211"/>
    <col min="15181" max="15181" width="10.5703125" style="211" customWidth="1"/>
    <col min="15182" max="15182" width="9.140625" style="211"/>
    <col min="15183" max="15183" width="4" style="211" customWidth="1"/>
    <col min="15184" max="15184" width="9.42578125" style="211" customWidth="1"/>
    <col min="15185" max="15186" width="9.140625" style="211"/>
    <col min="15187" max="15187" width="10.5703125" style="211" customWidth="1"/>
    <col min="15188" max="15188" width="9.140625" style="211"/>
    <col min="15189" max="15189" width="4" style="211" customWidth="1"/>
    <col min="15190" max="15190" width="9.42578125" style="211" customWidth="1"/>
    <col min="15191" max="15192" width="9.140625" style="211"/>
    <col min="15193" max="15193" width="10.5703125" style="211" customWidth="1"/>
    <col min="15194" max="15194" width="9.140625" style="211"/>
    <col min="15195" max="15195" width="4" style="211" customWidth="1"/>
    <col min="15196" max="15196" width="9.42578125" style="211" customWidth="1"/>
    <col min="15197" max="15198" width="9.140625" style="211"/>
    <col min="15199" max="15199" width="10.5703125" style="211" customWidth="1"/>
    <col min="15200" max="15200" width="9.140625" style="211"/>
    <col min="15201" max="15201" width="4" style="211" customWidth="1"/>
    <col min="15202" max="15202" width="9.42578125" style="211" customWidth="1"/>
    <col min="15203" max="15204" width="9.140625" style="211"/>
    <col min="15205" max="15205" width="10.5703125" style="211" customWidth="1"/>
    <col min="15206" max="15206" width="9.140625" style="211"/>
    <col min="15207" max="15207" width="4" style="211" customWidth="1"/>
    <col min="15208" max="15208" width="12.42578125" style="211" customWidth="1"/>
    <col min="15209" max="15210" width="9.140625" style="211"/>
    <col min="15211" max="15211" width="10.5703125" style="211" customWidth="1"/>
    <col min="15212" max="15212" width="9.140625" style="211"/>
    <col min="15213" max="15213" width="4" style="211" customWidth="1"/>
    <col min="15214" max="15214" width="12.42578125" style="211" customWidth="1"/>
    <col min="15215" max="15216" width="9.140625" style="211"/>
    <col min="15217" max="15217" width="10.5703125" style="211" customWidth="1"/>
    <col min="15218" max="15218" width="9.140625" style="211"/>
    <col min="15219" max="15219" width="4" style="211" customWidth="1"/>
    <col min="15220" max="15220" width="12.42578125" style="211" customWidth="1"/>
    <col min="15221" max="15222" width="9.140625" style="211"/>
    <col min="15223" max="15223" width="10.5703125" style="211" customWidth="1"/>
    <col min="15224" max="15224" width="9.140625" style="211"/>
    <col min="15225" max="15225" width="4" style="211" customWidth="1"/>
    <col min="15226" max="15226" width="12.42578125" style="211" customWidth="1"/>
    <col min="15227" max="15228" width="9.140625" style="211"/>
    <col min="15229" max="15229" width="10.5703125" style="211" customWidth="1"/>
    <col min="15230" max="15230" width="9.140625" style="211"/>
    <col min="15231" max="15231" width="4" style="211" customWidth="1"/>
    <col min="15232" max="15232" width="12.42578125" style="211" customWidth="1"/>
    <col min="15233" max="15234" width="9.140625" style="211"/>
    <col min="15235" max="15235" width="10.5703125" style="211" customWidth="1"/>
    <col min="15236" max="15360" width="9.140625" style="211"/>
    <col min="15361" max="15361" width="2.7109375" style="211" customWidth="1"/>
    <col min="15362" max="15362" width="9.140625" style="211"/>
    <col min="15363" max="15363" width="9.42578125" style="211" customWidth="1"/>
    <col min="15364" max="15364" width="0" style="211" hidden="1" customWidth="1"/>
    <col min="15365" max="15365" width="9.140625" style="211"/>
    <col min="15366" max="15366" width="2.42578125" style="211" customWidth="1"/>
    <col min="15367" max="15367" width="9.140625" style="211"/>
    <col min="15368" max="15368" width="9.42578125" style="211" customWidth="1"/>
    <col min="15369" max="15369" width="0" style="211" hidden="1" customWidth="1"/>
    <col min="15370" max="15370" width="9.140625" style="211"/>
    <col min="15371" max="15371" width="2.28515625" style="211" customWidth="1"/>
    <col min="15372" max="15372" width="9.140625" style="211"/>
    <col min="15373" max="15373" width="9.42578125" style="211" customWidth="1"/>
    <col min="15374" max="15374" width="0" style="211" hidden="1" customWidth="1"/>
    <col min="15375" max="15375" width="9.140625" style="211"/>
    <col min="15376" max="15376" width="2.5703125" style="211" customWidth="1"/>
    <col min="15377" max="15377" width="9.140625" style="211"/>
    <col min="15378" max="15378" width="9.5703125" style="211" customWidth="1"/>
    <col min="15379" max="15379" width="0" style="211" hidden="1" customWidth="1"/>
    <col min="15380" max="15380" width="9.140625" style="211"/>
    <col min="15381" max="15381" width="2.7109375" style="211" customWidth="1"/>
    <col min="15382" max="15383" width="9.140625" style="211"/>
    <col min="15384" max="15384" width="3.140625" style="211" customWidth="1"/>
    <col min="15385" max="15385" width="4" style="211" customWidth="1"/>
    <col min="15386" max="15386" width="9.42578125" style="211" customWidth="1"/>
    <col min="15387" max="15388" width="9.140625" style="211"/>
    <col min="15389" max="15389" width="10.5703125" style="211" customWidth="1"/>
    <col min="15390" max="15390" width="9.140625" style="211"/>
    <col min="15391" max="15391" width="4" style="211" customWidth="1"/>
    <col min="15392" max="15392" width="9.42578125" style="211" customWidth="1"/>
    <col min="15393" max="15394" width="9.140625" style="211"/>
    <col min="15395" max="15395" width="10.5703125" style="211" customWidth="1"/>
    <col min="15396" max="15396" width="9.140625" style="211"/>
    <col min="15397" max="15397" width="4" style="211" customWidth="1"/>
    <col min="15398" max="15398" width="9.42578125" style="211" customWidth="1"/>
    <col min="15399" max="15400" width="9.140625" style="211"/>
    <col min="15401" max="15401" width="10.5703125" style="211" customWidth="1"/>
    <col min="15402" max="15402" width="9.140625" style="211"/>
    <col min="15403" max="15403" width="4" style="211" customWidth="1"/>
    <col min="15404" max="15404" width="9.42578125" style="211" customWidth="1"/>
    <col min="15405" max="15406" width="9.140625" style="211"/>
    <col min="15407" max="15407" width="10.5703125" style="211" customWidth="1"/>
    <col min="15408" max="15408" width="9.140625" style="211"/>
    <col min="15409" max="15409" width="4" style="211" customWidth="1"/>
    <col min="15410" max="15410" width="9.42578125" style="211" customWidth="1"/>
    <col min="15411" max="15412" width="9.140625" style="211"/>
    <col min="15413" max="15413" width="10.5703125" style="211" customWidth="1"/>
    <col min="15414" max="15414" width="9.140625" style="211"/>
    <col min="15415" max="15415" width="4" style="211" customWidth="1"/>
    <col min="15416" max="15416" width="9.42578125" style="211" customWidth="1"/>
    <col min="15417" max="15418" width="9.140625" style="211"/>
    <col min="15419" max="15419" width="10.5703125" style="211" customWidth="1"/>
    <col min="15420" max="15420" width="9.140625" style="211"/>
    <col min="15421" max="15421" width="4" style="211" customWidth="1"/>
    <col min="15422" max="15422" width="9.42578125" style="211" customWidth="1"/>
    <col min="15423" max="15424" width="9.140625" style="211"/>
    <col min="15425" max="15425" width="10.5703125" style="211" customWidth="1"/>
    <col min="15426" max="15426" width="9.140625" style="211"/>
    <col min="15427" max="15427" width="4" style="211" customWidth="1"/>
    <col min="15428" max="15428" width="9.42578125" style="211" customWidth="1"/>
    <col min="15429" max="15430" width="9.140625" style="211"/>
    <col min="15431" max="15431" width="10.5703125" style="211" customWidth="1"/>
    <col min="15432" max="15432" width="9.140625" style="211"/>
    <col min="15433" max="15433" width="4" style="211" customWidth="1"/>
    <col min="15434" max="15434" width="9.42578125" style="211" customWidth="1"/>
    <col min="15435" max="15436" width="9.140625" style="211"/>
    <col min="15437" max="15437" width="10.5703125" style="211" customWidth="1"/>
    <col min="15438" max="15438" width="9.140625" style="211"/>
    <col min="15439" max="15439" width="4" style="211" customWidth="1"/>
    <col min="15440" max="15440" width="9.42578125" style="211" customWidth="1"/>
    <col min="15441" max="15442" width="9.140625" style="211"/>
    <col min="15443" max="15443" width="10.5703125" style="211" customWidth="1"/>
    <col min="15444" max="15444" width="9.140625" style="211"/>
    <col min="15445" max="15445" width="4" style="211" customWidth="1"/>
    <col min="15446" max="15446" width="9.42578125" style="211" customWidth="1"/>
    <col min="15447" max="15448" width="9.140625" style="211"/>
    <col min="15449" max="15449" width="10.5703125" style="211" customWidth="1"/>
    <col min="15450" max="15450" width="9.140625" style="211"/>
    <col min="15451" max="15451" width="4" style="211" customWidth="1"/>
    <col min="15452" max="15452" width="9.42578125" style="211" customWidth="1"/>
    <col min="15453" max="15454" width="9.140625" style="211"/>
    <col min="15455" max="15455" width="10.5703125" style="211" customWidth="1"/>
    <col min="15456" max="15456" width="9.140625" style="211"/>
    <col min="15457" max="15457" width="4" style="211" customWidth="1"/>
    <col min="15458" max="15458" width="9.42578125" style="211" customWidth="1"/>
    <col min="15459" max="15460" width="9.140625" style="211"/>
    <col min="15461" max="15461" width="10.5703125" style="211" customWidth="1"/>
    <col min="15462" max="15462" width="9.140625" style="211"/>
    <col min="15463" max="15463" width="4" style="211" customWidth="1"/>
    <col min="15464" max="15464" width="12.42578125" style="211" customWidth="1"/>
    <col min="15465" max="15466" width="9.140625" style="211"/>
    <col min="15467" max="15467" width="10.5703125" style="211" customWidth="1"/>
    <col min="15468" max="15468" width="9.140625" style="211"/>
    <col min="15469" max="15469" width="4" style="211" customWidth="1"/>
    <col min="15470" max="15470" width="12.42578125" style="211" customWidth="1"/>
    <col min="15471" max="15472" width="9.140625" style="211"/>
    <col min="15473" max="15473" width="10.5703125" style="211" customWidth="1"/>
    <col min="15474" max="15474" width="9.140625" style="211"/>
    <col min="15475" max="15475" width="4" style="211" customWidth="1"/>
    <col min="15476" max="15476" width="12.42578125" style="211" customWidth="1"/>
    <col min="15477" max="15478" width="9.140625" style="211"/>
    <col min="15479" max="15479" width="10.5703125" style="211" customWidth="1"/>
    <col min="15480" max="15480" width="9.140625" style="211"/>
    <col min="15481" max="15481" width="4" style="211" customWidth="1"/>
    <col min="15482" max="15482" width="12.42578125" style="211" customWidth="1"/>
    <col min="15483" max="15484" width="9.140625" style="211"/>
    <col min="15485" max="15485" width="10.5703125" style="211" customWidth="1"/>
    <col min="15486" max="15486" width="9.140625" style="211"/>
    <col min="15487" max="15487" width="4" style="211" customWidth="1"/>
    <col min="15488" max="15488" width="12.42578125" style="211" customWidth="1"/>
    <col min="15489" max="15490" width="9.140625" style="211"/>
    <col min="15491" max="15491" width="10.5703125" style="211" customWidth="1"/>
    <col min="15492" max="15616" width="9.140625" style="211"/>
    <col min="15617" max="15617" width="2.7109375" style="211" customWidth="1"/>
    <col min="15618" max="15618" width="9.140625" style="211"/>
    <col min="15619" max="15619" width="9.42578125" style="211" customWidth="1"/>
    <col min="15620" max="15620" width="0" style="211" hidden="1" customWidth="1"/>
    <col min="15621" max="15621" width="9.140625" style="211"/>
    <col min="15622" max="15622" width="2.42578125" style="211" customWidth="1"/>
    <col min="15623" max="15623" width="9.140625" style="211"/>
    <col min="15624" max="15624" width="9.42578125" style="211" customWidth="1"/>
    <col min="15625" max="15625" width="0" style="211" hidden="1" customWidth="1"/>
    <col min="15626" max="15626" width="9.140625" style="211"/>
    <col min="15627" max="15627" width="2.28515625" style="211" customWidth="1"/>
    <col min="15628" max="15628" width="9.140625" style="211"/>
    <col min="15629" max="15629" width="9.42578125" style="211" customWidth="1"/>
    <col min="15630" max="15630" width="0" style="211" hidden="1" customWidth="1"/>
    <col min="15631" max="15631" width="9.140625" style="211"/>
    <col min="15632" max="15632" width="2.5703125" style="211" customWidth="1"/>
    <col min="15633" max="15633" width="9.140625" style="211"/>
    <col min="15634" max="15634" width="9.5703125" style="211" customWidth="1"/>
    <col min="15635" max="15635" width="0" style="211" hidden="1" customWidth="1"/>
    <col min="15636" max="15636" width="9.140625" style="211"/>
    <col min="15637" max="15637" width="2.7109375" style="211" customWidth="1"/>
    <col min="15638" max="15639" width="9.140625" style="211"/>
    <col min="15640" max="15640" width="3.140625" style="211" customWidth="1"/>
    <col min="15641" max="15641" width="4" style="211" customWidth="1"/>
    <col min="15642" max="15642" width="9.42578125" style="211" customWidth="1"/>
    <col min="15643" max="15644" width="9.140625" style="211"/>
    <col min="15645" max="15645" width="10.5703125" style="211" customWidth="1"/>
    <col min="15646" max="15646" width="9.140625" style="211"/>
    <col min="15647" max="15647" width="4" style="211" customWidth="1"/>
    <col min="15648" max="15648" width="9.42578125" style="211" customWidth="1"/>
    <col min="15649" max="15650" width="9.140625" style="211"/>
    <col min="15651" max="15651" width="10.5703125" style="211" customWidth="1"/>
    <col min="15652" max="15652" width="9.140625" style="211"/>
    <col min="15653" max="15653" width="4" style="211" customWidth="1"/>
    <col min="15654" max="15654" width="9.42578125" style="211" customWidth="1"/>
    <col min="15655" max="15656" width="9.140625" style="211"/>
    <col min="15657" max="15657" width="10.5703125" style="211" customWidth="1"/>
    <col min="15658" max="15658" width="9.140625" style="211"/>
    <col min="15659" max="15659" width="4" style="211" customWidth="1"/>
    <col min="15660" max="15660" width="9.42578125" style="211" customWidth="1"/>
    <col min="15661" max="15662" width="9.140625" style="211"/>
    <col min="15663" max="15663" width="10.5703125" style="211" customWidth="1"/>
    <col min="15664" max="15664" width="9.140625" style="211"/>
    <col min="15665" max="15665" width="4" style="211" customWidth="1"/>
    <col min="15666" max="15666" width="9.42578125" style="211" customWidth="1"/>
    <col min="15667" max="15668" width="9.140625" style="211"/>
    <col min="15669" max="15669" width="10.5703125" style="211" customWidth="1"/>
    <col min="15670" max="15670" width="9.140625" style="211"/>
    <col min="15671" max="15671" width="4" style="211" customWidth="1"/>
    <col min="15672" max="15672" width="9.42578125" style="211" customWidth="1"/>
    <col min="15673" max="15674" width="9.140625" style="211"/>
    <col min="15675" max="15675" width="10.5703125" style="211" customWidth="1"/>
    <col min="15676" max="15676" width="9.140625" style="211"/>
    <col min="15677" max="15677" width="4" style="211" customWidth="1"/>
    <col min="15678" max="15678" width="9.42578125" style="211" customWidth="1"/>
    <col min="15679" max="15680" width="9.140625" style="211"/>
    <col min="15681" max="15681" width="10.5703125" style="211" customWidth="1"/>
    <col min="15682" max="15682" width="9.140625" style="211"/>
    <col min="15683" max="15683" width="4" style="211" customWidth="1"/>
    <col min="15684" max="15684" width="9.42578125" style="211" customWidth="1"/>
    <col min="15685" max="15686" width="9.140625" style="211"/>
    <col min="15687" max="15687" width="10.5703125" style="211" customWidth="1"/>
    <col min="15688" max="15688" width="9.140625" style="211"/>
    <col min="15689" max="15689" width="4" style="211" customWidth="1"/>
    <col min="15690" max="15690" width="9.42578125" style="211" customWidth="1"/>
    <col min="15691" max="15692" width="9.140625" style="211"/>
    <col min="15693" max="15693" width="10.5703125" style="211" customWidth="1"/>
    <col min="15694" max="15694" width="9.140625" style="211"/>
    <col min="15695" max="15695" width="4" style="211" customWidth="1"/>
    <col min="15696" max="15696" width="9.42578125" style="211" customWidth="1"/>
    <col min="15697" max="15698" width="9.140625" style="211"/>
    <col min="15699" max="15699" width="10.5703125" style="211" customWidth="1"/>
    <col min="15700" max="15700" width="9.140625" style="211"/>
    <col min="15701" max="15701" width="4" style="211" customWidth="1"/>
    <col min="15702" max="15702" width="9.42578125" style="211" customWidth="1"/>
    <col min="15703" max="15704" width="9.140625" style="211"/>
    <col min="15705" max="15705" width="10.5703125" style="211" customWidth="1"/>
    <col min="15706" max="15706" width="9.140625" style="211"/>
    <col min="15707" max="15707" width="4" style="211" customWidth="1"/>
    <col min="15708" max="15708" width="9.42578125" style="211" customWidth="1"/>
    <col min="15709" max="15710" width="9.140625" style="211"/>
    <col min="15711" max="15711" width="10.5703125" style="211" customWidth="1"/>
    <col min="15712" max="15712" width="9.140625" style="211"/>
    <col min="15713" max="15713" width="4" style="211" customWidth="1"/>
    <col min="15714" max="15714" width="9.42578125" style="211" customWidth="1"/>
    <col min="15715" max="15716" width="9.140625" style="211"/>
    <col min="15717" max="15717" width="10.5703125" style="211" customWidth="1"/>
    <col min="15718" max="15718" width="9.140625" style="211"/>
    <col min="15719" max="15719" width="4" style="211" customWidth="1"/>
    <col min="15720" max="15720" width="12.42578125" style="211" customWidth="1"/>
    <col min="15721" max="15722" width="9.140625" style="211"/>
    <col min="15723" max="15723" width="10.5703125" style="211" customWidth="1"/>
    <col min="15724" max="15724" width="9.140625" style="211"/>
    <col min="15725" max="15725" width="4" style="211" customWidth="1"/>
    <col min="15726" max="15726" width="12.42578125" style="211" customWidth="1"/>
    <col min="15727" max="15728" width="9.140625" style="211"/>
    <col min="15729" max="15729" width="10.5703125" style="211" customWidth="1"/>
    <col min="15730" max="15730" width="9.140625" style="211"/>
    <col min="15731" max="15731" width="4" style="211" customWidth="1"/>
    <col min="15732" max="15732" width="12.42578125" style="211" customWidth="1"/>
    <col min="15733" max="15734" width="9.140625" style="211"/>
    <col min="15735" max="15735" width="10.5703125" style="211" customWidth="1"/>
    <col min="15736" max="15736" width="9.140625" style="211"/>
    <col min="15737" max="15737" width="4" style="211" customWidth="1"/>
    <col min="15738" max="15738" width="12.42578125" style="211" customWidth="1"/>
    <col min="15739" max="15740" width="9.140625" style="211"/>
    <col min="15741" max="15741" width="10.5703125" style="211" customWidth="1"/>
    <col min="15742" max="15742" width="9.140625" style="211"/>
    <col min="15743" max="15743" width="4" style="211" customWidth="1"/>
    <col min="15744" max="15744" width="12.42578125" style="211" customWidth="1"/>
    <col min="15745" max="15746" width="9.140625" style="211"/>
    <col min="15747" max="15747" width="10.5703125" style="211" customWidth="1"/>
    <col min="15748" max="15872" width="9.140625" style="211"/>
    <col min="15873" max="15873" width="2.7109375" style="211" customWidth="1"/>
    <col min="15874" max="15874" width="9.140625" style="211"/>
    <col min="15875" max="15875" width="9.42578125" style="211" customWidth="1"/>
    <col min="15876" max="15876" width="0" style="211" hidden="1" customWidth="1"/>
    <col min="15877" max="15877" width="9.140625" style="211"/>
    <col min="15878" max="15878" width="2.42578125" style="211" customWidth="1"/>
    <col min="15879" max="15879" width="9.140625" style="211"/>
    <col min="15880" max="15880" width="9.42578125" style="211" customWidth="1"/>
    <col min="15881" max="15881" width="0" style="211" hidden="1" customWidth="1"/>
    <col min="15882" max="15882" width="9.140625" style="211"/>
    <col min="15883" max="15883" width="2.28515625" style="211" customWidth="1"/>
    <col min="15884" max="15884" width="9.140625" style="211"/>
    <col min="15885" max="15885" width="9.42578125" style="211" customWidth="1"/>
    <col min="15886" max="15886" width="0" style="211" hidden="1" customWidth="1"/>
    <col min="15887" max="15887" width="9.140625" style="211"/>
    <col min="15888" max="15888" width="2.5703125" style="211" customWidth="1"/>
    <col min="15889" max="15889" width="9.140625" style="211"/>
    <col min="15890" max="15890" width="9.5703125" style="211" customWidth="1"/>
    <col min="15891" max="15891" width="0" style="211" hidden="1" customWidth="1"/>
    <col min="15892" max="15892" width="9.140625" style="211"/>
    <col min="15893" max="15893" width="2.7109375" style="211" customWidth="1"/>
    <col min="15894" max="15895" width="9.140625" style="211"/>
    <col min="15896" max="15896" width="3.140625" style="211" customWidth="1"/>
    <col min="15897" max="15897" width="4" style="211" customWidth="1"/>
    <col min="15898" max="15898" width="9.42578125" style="211" customWidth="1"/>
    <col min="15899" max="15900" width="9.140625" style="211"/>
    <col min="15901" max="15901" width="10.5703125" style="211" customWidth="1"/>
    <col min="15902" max="15902" width="9.140625" style="211"/>
    <col min="15903" max="15903" width="4" style="211" customWidth="1"/>
    <col min="15904" max="15904" width="9.42578125" style="211" customWidth="1"/>
    <col min="15905" max="15906" width="9.140625" style="211"/>
    <col min="15907" max="15907" width="10.5703125" style="211" customWidth="1"/>
    <col min="15908" max="15908" width="9.140625" style="211"/>
    <col min="15909" max="15909" width="4" style="211" customWidth="1"/>
    <col min="15910" max="15910" width="9.42578125" style="211" customWidth="1"/>
    <col min="15911" max="15912" width="9.140625" style="211"/>
    <col min="15913" max="15913" width="10.5703125" style="211" customWidth="1"/>
    <col min="15914" max="15914" width="9.140625" style="211"/>
    <col min="15915" max="15915" width="4" style="211" customWidth="1"/>
    <col min="15916" max="15916" width="9.42578125" style="211" customWidth="1"/>
    <col min="15917" max="15918" width="9.140625" style="211"/>
    <col min="15919" max="15919" width="10.5703125" style="211" customWidth="1"/>
    <col min="15920" max="15920" width="9.140625" style="211"/>
    <col min="15921" max="15921" width="4" style="211" customWidth="1"/>
    <col min="15922" max="15922" width="9.42578125" style="211" customWidth="1"/>
    <col min="15923" max="15924" width="9.140625" style="211"/>
    <col min="15925" max="15925" width="10.5703125" style="211" customWidth="1"/>
    <col min="15926" max="15926" width="9.140625" style="211"/>
    <col min="15927" max="15927" width="4" style="211" customWidth="1"/>
    <col min="15928" max="15928" width="9.42578125" style="211" customWidth="1"/>
    <col min="15929" max="15930" width="9.140625" style="211"/>
    <col min="15931" max="15931" width="10.5703125" style="211" customWidth="1"/>
    <col min="15932" max="15932" width="9.140625" style="211"/>
    <col min="15933" max="15933" width="4" style="211" customWidth="1"/>
    <col min="15934" max="15934" width="9.42578125" style="211" customWidth="1"/>
    <col min="15935" max="15936" width="9.140625" style="211"/>
    <col min="15937" max="15937" width="10.5703125" style="211" customWidth="1"/>
    <col min="15938" max="15938" width="9.140625" style="211"/>
    <col min="15939" max="15939" width="4" style="211" customWidth="1"/>
    <col min="15940" max="15940" width="9.42578125" style="211" customWidth="1"/>
    <col min="15941" max="15942" width="9.140625" style="211"/>
    <col min="15943" max="15943" width="10.5703125" style="211" customWidth="1"/>
    <col min="15944" max="15944" width="9.140625" style="211"/>
    <col min="15945" max="15945" width="4" style="211" customWidth="1"/>
    <col min="15946" max="15946" width="9.42578125" style="211" customWidth="1"/>
    <col min="15947" max="15948" width="9.140625" style="211"/>
    <col min="15949" max="15949" width="10.5703125" style="211" customWidth="1"/>
    <col min="15950" max="15950" width="9.140625" style="211"/>
    <col min="15951" max="15951" width="4" style="211" customWidth="1"/>
    <col min="15952" max="15952" width="9.42578125" style="211" customWidth="1"/>
    <col min="15953" max="15954" width="9.140625" style="211"/>
    <col min="15955" max="15955" width="10.5703125" style="211" customWidth="1"/>
    <col min="15956" max="15956" width="9.140625" style="211"/>
    <col min="15957" max="15957" width="4" style="211" customWidth="1"/>
    <col min="15958" max="15958" width="9.42578125" style="211" customWidth="1"/>
    <col min="15959" max="15960" width="9.140625" style="211"/>
    <col min="15961" max="15961" width="10.5703125" style="211" customWidth="1"/>
    <col min="15962" max="15962" width="9.140625" style="211"/>
    <col min="15963" max="15963" width="4" style="211" customWidth="1"/>
    <col min="15964" max="15964" width="9.42578125" style="211" customWidth="1"/>
    <col min="15965" max="15966" width="9.140625" style="211"/>
    <col min="15967" max="15967" width="10.5703125" style="211" customWidth="1"/>
    <col min="15968" max="15968" width="9.140625" style="211"/>
    <col min="15969" max="15969" width="4" style="211" customWidth="1"/>
    <col min="15970" max="15970" width="9.42578125" style="211" customWidth="1"/>
    <col min="15971" max="15972" width="9.140625" style="211"/>
    <col min="15973" max="15973" width="10.5703125" style="211" customWidth="1"/>
    <col min="15974" max="15974" width="9.140625" style="211"/>
    <col min="15975" max="15975" width="4" style="211" customWidth="1"/>
    <col min="15976" max="15976" width="12.42578125" style="211" customWidth="1"/>
    <col min="15977" max="15978" width="9.140625" style="211"/>
    <col min="15979" max="15979" width="10.5703125" style="211" customWidth="1"/>
    <col min="15980" max="15980" width="9.140625" style="211"/>
    <col min="15981" max="15981" width="4" style="211" customWidth="1"/>
    <col min="15982" max="15982" width="12.42578125" style="211" customWidth="1"/>
    <col min="15983" max="15984" width="9.140625" style="211"/>
    <col min="15985" max="15985" width="10.5703125" style="211" customWidth="1"/>
    <col min="15986" max="15986" width="9.140625" style="211"/>
    <col min="15987" max="15987" width="4" style="211" customWidth="1"/>
    <col min="15988" max="15988" width="12.42578125" style="211" customWidth="1"/>
    <col min="15989" max="15990" width="9.140625" style="211"/>
    <col min="15991" max="15991" width="10.5703125" style="211" customWidth="1"/>
    <col min="15992" max="15992" width="9.140625" style="211"/>
    <col min="15993" max="15993" width="4" style="211" customWidth="1"/>
    <col min="15994" max="15994" width="12.42578125" style="211" customWidth="1"/>
    <col min="15995" max="15996" width="9.140625" style="211"/>
    <col min="15997" max="15997" width="10.5703125" style="211" customWidth="1"/>
    <col min="15998" max="15998" width="9.140625" style="211"/>
    <col min="15999" max="15999" width="4" style="211" customWidth="1"/>
    <col min="16000" max="16000" width="12.42578125" style="211" customWidth="1"/>
    <col min="16001" max="16002" width="9.140625" style="211"/>
    <col min="16003" max="16003" width="10.5703125" style="211" customWidth="1"/>
    <col min="16004" max="16128" width="9.140625" style="211"/>
    <col min="16129" max="16129" width="2.7109375" style="211" customWidth="1"/>
    <col min="16130" max="16130" width="9.140625" style="211"/>
    <col min="16131" max="16131" width="9.42578125" style="211" customWidth="1"/>
    <col min="16132" max="16132" width="0" style="211" hidden="1" customWidth="1"/>
    <col min="16133" max="16133" width="9.140625" style="211"/>
    <col min="16134" max="16134" width="2.42578125" style="211" customWidth="1"/>
    <col min="16135" max="16135" width="9.140625" style="211"/>
    <col min="16136" max="16136" width="9.42578125" style="211" customWidth="1"/>
    <col min="16137" max="16137" width="0" style="211" hidden="1" customWidth="1"/>
    <col min="16138" max="16138" width="9.140625" style="211"/>
    <col min="16139" max="16139" width="2.28515625" style="211" customWidth="1"/>
    <col min="16140" max="16140" width="9.140625" style="211"/>
    <col min="16141" max="16141" width="9.42578125" style="211" customWidth="1"/>
    <col min="16142" max="16142" width="0" style="211" hidden="1" customWidth="1"/>
    <col min="16143" max="16143" width="9.140625" style="211"/>
    <col min="16144" max="16144" width="2.5703125" style="211" customWidth="1"/>
    <col min="16145" max="16145" width="9.140625" style="211"/>
    <col min="16146" max="16146" width="9.5703125" style="211" customWidth="1"/>
    <col min="16147" max="16147" width="0" style="211" hidden="1" customWidth="1"/>
    <col min="16148" max="16148" width="9.140625" style="211"/>
    <col min="16149" max="16149" width="2.7109375" style="211" customWidth="1"/>
    <col min="16150" max="16151" width="9.140625" style="211"/>
    <col min="16152" max="16152" width="3.140625" style="211" customWidth="1"/>
    <col min="16153" max="16153" width="4" style="211" customWidth="1"/>
    <col min="16154" max="16154" width="9.42578125" style="211" customWidth="1"/>
    <col min="16155" max="16156" width="9.140625" style="211"/>
    <col min="16157" max="16157" width="10.5703125" style="211" customWidth="1"/>
    <col min="16158" max="16158" width="9.140625" style="211"/>
    <col min="16159" max="16159" width="4" style="211" customWidth="1"/>
    <col min="16160" max="16160" width="9.42578125" style="211" customWidth="1"/>
    <col min="16161" max="16162" width="9.140625" style="211"/>
    <col min="16163" max="16163" width="10.5703125" style="211" customWidth="1"/>
    <col min="16164" max="16164" width="9.140625" style="211"/>
    <col min="16165" max="16165" width="4" style="211" customWidth="1"/>
    <col min="16166" max="16166" width="9.42578125" style="211" customWidth="1"/>
    <col min="16167" max="16168" width="9.140625" style="211"/>
    <col min="16169" max="16169" width="10.5703125" style="211" customWidth="1"/>
    <col min="16170" max="16170" width="9.140625" style="211"/>
    <col min="16171" max="16171" width="4" style="211" customWidth="1"/>
    <col min="16172" max="16172" width="9.42578125" style="211" customWidth="1"/>
    <col min="16173" max="16174" width="9.140625" style="211"/>
    <col min="16175" max="16175" width="10.5703125" style="211" customWidth="1"/>
    <col min="16176" max="16176" width="9.140625" style="211"/>
    <col min="16177" max="16177" width="4" style="211" customWidth="1"/>
    <col min="16178" max="16178" width="9.42578125" style="211" customWidth="1"/>
    <col min="16179" max="16180" width="9.140625" style="211"/>
    <col min="16181" max="16181" width="10.5703125" style="211" customWidth="1"/>
    <col min="16182" max="16182" width="9.140625" style="211"/>
    <col min="16183" max="16183" width="4" style="211" customWidth="1"/>
    <col min="16184" max="16184" width="9.42578125" style="211" customWidth="1"/>
    <col min="16185" max="16186" width="9.140625" style="211"/>
    <col min="16187" max="16187" width="10.5703125" style="211" customWidth="1"/>
    <col min="16188" max="16188" width="9.140625" style="211"/>
    <col min="16189" max="16189" width="4" style="211" customWidth="1"/>
    <col min="16190" max="16190" width="9.42578125" style="211" customWidth="1"/>
    <col min="16191" max="16192" width="9.140625" style="211"/>
    <col min="16193" max="16193" width="10.5703125" style="211" customWidth="1"/>
    <col min="16194" max="16194" width="9.140625" style="211"/>
    <col min="16195" max="16195" width="4" style="211" customWidth="1"/>
    <col min="16196" max="16196" width="9.42578125" style="211" customWidth="1"/>
    <col min="16197" max="16198" width="9.140625" style="211"/>
    <col min="16199" max="16199" width="10.5703125" style="211" customWidth="1"/>
    <col min="16200" max="16200" width="9.140625" style="211"/>
    <col min="16201" max="16201" width="4" style="211" customWidth="1"/>
    <col min="16202" max="16202" width="9.42578125" style="211" customWidth="1"/>
    <col min="16203" max="16204" width="9.140625" style="211"/>
    <col min="16205" max="16205" width="10.5703125" style="211" customWidth="1"/>
    <col min="16206" max="16206" width="9.140625" style="211"/>
    <col min="16207" max="16207" width="4" style="211" customWidth="1"/>
    <col min="16208" max="16208" width="9.42578125" style="211" customWidth="1"/>
    <col min="16209" max="16210" width="9.140625" style="211"/>
    <col min="16211" max="16211" width="10.5703125" style="211" customWidth="1"/>
    <col min="16212" max="16212" width="9.140625" style="211"/>
    <col min="16213" max="16213" width="4" style="211" customWidth="1"/>
    <col min="16214" max="16214" width="9.42578125" style="211" customWidth="1"/>
    <col min="16215" max="16216" width="9.140625" style="211"/>
    <col min="16217" max="16217" width="10.5703125" style="211" customWidth="1"/>
    <col min="16218" max="16218" width="9.140625" style="211"/>
    <col min="16219" max="16219" width="4" style="211" customWidth="1"/>
    <col min="16220" max="16220" width="9.42578125" style="211" customWidth="1"/>
    <col min="16221" max="16222" width="9.140625" style="211"/>
    <col min="16223" max="16223" width="10.5703125" style="211" customWidth="1"/>
    <col min="16224" max="16224" width="9.140625" style="211"/>
    <col min="16225" max="16225" width="4" style="211" customWidth="1"/>
    <col min="16226" max="16226" width="9.42578125" style="211" customWidth="1"/>
    <col min="16227" max="16228" width="9.140625" style="211"/>
    <col min="16229" max="16229" width="10.5703125" style="211" customWidth="1"/>
    <col min="16230" max="16230" width="9.140625" style="211"/>
    <col min="16231" max="16231" width="4" style="211" customWidth="1"/>
    <col min="16232" max="16232" width="12.42578125" style="211" customWidth="1"/>
    <col min="16233" max="16234" width="9.140625" style="211"/>
    <col min="16235" max="16235" width="10.5703125" style="211" customWidth="1"/>
    <col min="16236" max="16236" width="9.140625" style="211"/>
    <col min="16237" max="16237" width="4" style="211" customWidth="1"/>
    <col min="16238" max="16238" width="12.42578125" style="211" customWidth="1"/>
    <col min="16239" max="16240" width="9.140625" style="211"/>
    <col min="16241" max="16241" width="10.5703125" style="211" customWidth="1"/>
    <col min="16242" max="16242" width="9.140625" style="211"/>
    <col min="16243" max="16243" width="4" style="211" customWidth="1"/>
    <col min="16244" max="16244" width="12.42578125" style="211" customWidth="1"/>
    <col min="16245" max="16246" width="9.140625" style="211"/>
    <col min="16247" max="16247" width="10.5703125" style="211" customWidth="1"/>
    <col min="16248" max="16248" width="9.140625" style="211"/>
    <col min="16249" max="16249" width="4" style="211" customWidth="1"/>
    <col min="16250" max="16250" width="12.42578125" style="211" customWidth="1"/>
    <col min="16251" max="16252" width="9.140625" style="211"/>
    <col min="16253" max="16253" width="10.5703125" style="211" customWidth="1"/>
    <col min="16254" max="16254" width="9.140625" style="211"/>
    <col min="16255" max="16255" width="4" style="211" customWidth="1"/>
    <col min="16256" max="16256" width="12.42578125" style="211" customWidth="1"/>
    <col min="16257" max="16258" width="9.140625" style="211"/>
    <col min="16259" max="16259" width="10.5703125" style="211" customWidth="1"/>
    <col min="16260" max="16384" width="9.140625" style="211"/>
  </cols>
  <sheetData>
    <row r="1" spans="1:131" ht="15" customHeight="1" x14ac:dyDescent="0.2">
      <c r="A1" s="208"/>
      <c r="B1" s="208"/>
      <c r="C1" s="208"/>
      <c r="D1" s="208"/>
      <c r="E1" s="208"/>
      <c r="F1" s="208"/>
      <c r="G1" s="208"/>
      <c r="H1" s="208"/>
      <c r="I1" s="208"/>
      <c r="J1" s="208"/>
      <c r="K1" s="208"/>
      <c r="L1" s="208"/>
      <c r="M1" s="208"/>
      <c r="N1" s="208"/>
      <c r="O1" s="208"/>
      <c r="P1" s="208"/>
      <c r="Q1" s="208"/>
      <c r="R1" s="208"/>
      <c r="S1" s="208"/>
      <c r="T1" s="208"/>
      <c r="U1" s="209"/>
      <c r="V1" s="210"/>
      <c r="Y1" s="211"/>
      <c r="AB1" s="211"/>
      <c r="AC1" s="211"/>
      <c r="AE1" s="211"/>
      <c r="AH1" s="211"/>
      <c r="AI1" s="211"/>
      <c r="AK1" s="211"/>
      <c r="AN1" s="211"/>
      <c r="AO1" s="211"/>
      <c r="AQ1" s="211"/>
      <c r="AT1" s="211"/>
      <c r="AU1" s="211"/>
      <c r="AW1" s="211"/>
      <c r="AZ1" s="211"/>
      <c r="BA1" s="211"/>
      <c r="BC1" s="211"/>
      <c r="BF1" s="211"/>
      <c r="BG1" s="211"/>
      <c r="BI1" s="211"/>
      <c r="BL1" s="211"/>
      <c r="BM1" s="211"/>
      <c r="BO1" s="211"/>
      <c r="BR1" s="211"/>
      <c r="BS1" s="211"/>
      <c r="BU1" s="211"/>
      <c r="BX1" s="211"/>
      <c r="BY1" s="211"/>
      <c r="CA1" s="211"/>
      <c r="CD1" s="211"/>
      <c r="CE1" s="211"/>
      <c r="CG1" s="211"/>
      <c r="CJ1" s="211"/>
      <c r="CK1" s="211"/>
      <c r="CM1" s="211"/>
      <c r="CP1" s="211"/>
      <c r="CQ1" s="211"/>
      <c r="CS1" s="211"/>
      <c r="CV1" s="211"/>
      <c r="CW1" s="211"/>
      <c r="CY1" s="211"/>
      <c r="DB1" s="211"/>
      <c r="DC1" s="211"/>
      <c r="DE1" s="211"/>
      <c r="DH1" s="211"/>
      <c r="DI1" s="211"/>
      <c r="DK1" s="211"/>
      <c r="DN1" s="211"/>
      <c r="DO1" s="211"/>
      <c r="DQ1" s="211"/>
      <c r="DT1" s="211"/>
      <c r="DU1" s="211"/>
      <c r="DW1" s="211"/>
      <c r="DZ1" s="211"/>
      <c r="EA1" s="211"/>
    </row>
    <row r="2" spans="1:131" ht="15" customHeight="1" x14ac:dyDescent="0.2">
      <c r="A2" s="212"/>
      <c r="B2" s="622" t="s">
        <v>368</v>
      </c>
      <c r="C2" s="622"/>
      <c r="D2" s="622"/>
      <c r="E2" s="622"/>
      <c r="F2" s="213"/>
      <c r="G2" s="622" t="s">
        <v>369</v>
      </c>
      <c r="H2" s="622"/>
      <c r="I2" s="622"/>
      <c r="J2" s="622"/>
      <c r="K2" s="213"/>
      <c r="L2" s="622" t="s">
        <v>370</v>
      </c>
      <c r="M2" s="622"/>
      <c r="N2" s="622"/>
      <c r="O2" s="622"/>
      <c r="P2" s="213"/>
      <c r="Q2" s="622" t="s">
        <v>371</v>
      </c>
      <c r="R2" s="622"/>
      <c r="S2" s="622"/>
      <c r="T2" s="622"/>
      <c r="U2" s="214"/>
      <c r="V2" s="210"/>
      <c r="Y2" s="211"/>
      <c r="AB2" s="211"/>
      <c r="AC2" s="211"/>
      <c r="AE2" s="211"/>
      <c r="AH2" s="211"/>
      <c r="AI2" s="211"/>
      <c r="AK2" s="211"/>
      <c r="AN2" s="211"/>
      <c r="AO2" s="211"/>
      <c r="AQ2" s="211"/>
      <c r="AT2" s="211"/>
      <c r="AU2" s="211"/>
      <c r="AW2" s="211"/>
      <c r="AZ2" s="211"/>
      <c r="BA2" s="211"/>
      <c r="BC2" s="211"/>
      <c r="BF2" s="211"/>
      <c r="BG2" s="211"/>
      <c r="BI2" s="211"/>
      <c r="BL2" s="211"/>
      <c r="BM2" s="211"/>
      <c r="BO2" s="211"/>
      <c r="BR2" s="211"/>
      <c r="BS2" s="211"/>
      <c r="BU2" s="211"/>
      <c r="BX2" s="211"/>
      <c r="BY2" s="211"/>
      <c r="CA2" s="211"/>
      <c r="CD2" s="211"/>
      <c r="CE2" s="211"/>
      <c r="CF2" s="215"/>
      <c r="CG2" s="211"/>
      <c r="CJ2" s="211"/>
      <c r="CK2" s="211"/>
      <c r="CM2" s="211"/>
      <c r="CP2" s="211"/>
      <c r="CQ2" s="211"/>
      <c r="CS2" s="211"/>
      <c r="CV2" s="211"/>
      <c r="CW2" s="211"/>
      <c r="CX2" s="215"/>
      <c r="CY2" s="215"/>
      <c r="CZ2" s="215"/>
      <c r="DA2" s="215"/>
      <c r="DB2" s="215"/>
      <c r="DC2" s="211"/>
      <c r="DE2" s="211"/>
      <c r="DH2" s="211"/>
      <c r="DI2" s="211"/>
      <c r="DK2" s="211"/>
      <c r="DN2" s="211"/>
      <c r="DO2" s="211"/>
      <c r="DQ2" s="211"/>
      <c r="DT2" s="211"/>
      <c r="DU2" s="211"/>
      <c r="DW2" s="211"/>
      <c r="DZ2" s="211"/>
      <c r="EA2" s="211"/>
    </row>
    <row r="3" spans="1:131" ht="15" customHeight="1" x14ac:dyDescent="0.2">
      <c r="A3" s="216"/>
      <c r="B3" s="217"/>
      <c r="C3" s="217"/>
      <c r="D3" s="218">
        <v>5</v>
      </c>
      <c r="E3" s="219">
        <v>2</v>
      </c>
      <c r="F3" s="220"/>
      <c r="G3" s="217"/>
      <c r="H3" s="217"/>
      <c r="I3" s="218">
        <v>6</v>
      </c>
      <c r="J3" s="219">
        <v>1</v>
      </c>
      <c r="K3" s="220"/>
      <c r="L3" s="217"/>
      <c r="M3" s="217"/>
      <c r="N3" s="218">
        <v>1</v>
      </c>
      <c r="O3" s="219">
        <v>1</v>
      </c>
      <c r="P3" s="220"/>
      <c r="Q3" s="217"/>
      <c r="R3" s="217"/>
      <c r="S3" s="218">
        <v>1</v>
      </c>
      <c r="T3" s="219">
        <v>1</v>
      </c>
      <c r="U3" s="214"/>
      <c r="V3" s="210"/>
      <c r="AB3" s="222">
        <f>VLOOKUP(D3,Y4:AA12,3,FALSE)</f>
        <v>3.0479999999999998E-4</v>
      </c>
      <c r="AC3" s="222">
        <f>+E3/AB3</f>
        <v>6561.6797900262472</v>
      </c>
      <c r="AH3" s="222">
        <f>VLOOKUP(D7,AE4:AG14,3,FALSE)</f>
        <v>1</v>
      </c>
      <c r="AI3" s="222">
        <f>+E7/AH3</f>
        <v>1</v>
      </c>
      <c r="AN3" s="222">
        <f>VLOOKUP(D11,AK4:AM11,3,FALSE)</f>
        <v>1</v>
      </c>
      <c r="AO3" s="222">
        <f>+E11/AN3</f>
        <v>1</v>
      </c>
      <c r="AT3" s="222">
        <f>VLOOKUP(D15,AQ4:AS17,3,FALSE)</f>
        <v>1</v>
      </c>
      <c r="AU3" s="222">
        <f>+E15/AT3</f>
        <v>1</v>
      </c>
      <c r="AZ3" s="222">
        <f>VLOOKUP(D19,AW4:AY15,3,FALSE)</f>
        <v>7.0306960000000002E-2</v>
      </c>
      <c r="BA3" s="222">
        <f>+E19/AZ3</f>
        <v>14.223342895212649</v>
      </c>
      <c r="BF3" s="222">
        <f>VLOOKUP(I3,BC4:BE15,3,FALSE)</f>
        <v>0.74569989999999997</v>
      </c>
      <c r="BG3" s="222">
        <f>+J3/BF3</f>
        <v>1.3410220384902829</v>
      </c>
      <c r="BL3" s="222">
        <f>VLOOKUP(I7,BI4:BK13,3,FALSE)</f>
        <v>1</v>
      </c>
      <c r="BM3" s="222">
        <f>+J7/BL3</f>
        <v>1</v>
      </c>
      <c r="BR3" s="222">
        <f>VLOOKUP(I11,BO4:BQ14,3,FALSE)</f>
        <v>9.842099999999999E-4</v>
      </c>
      <c r="BS3" s="222">
        <f>+J11/BR3</f>
        <v>1016.0433240873392</v>
      </c>
      <c r="BX3" s="222">
        <f>VLOOKUP(I19,BU4:BW14,3,FALSE)</f>
        <v>9.2903040000000006E-2</v>
      </c>
      <c r="BY3" s="222">
        <f>+J19/BX3</f>
        <v>10.763910416709722</v>
      </c>
      <c r="CD3" s="222">
        <f>VLOOKUP(I15,CA4:CC15,3,FALSE)</f>
        <v>1</v>
      </c>
      <c r="CE3" s="222">
        <f>+J15/CD3</f>
        <v>1</v>
      </c>
      <c r="CF3" s="215"/>
      <c r="CJ3" s="222">
        <f>VLOOKUP(N3,CG4:CI12,3,FALSE)</f>
        <v>1</v>
      </c>
      <c r="CK3" s="222">
        <f>+O3/CJ3</f>
        <v>1</v>
      </c>
      <c r="CP3" s="222">
        <f>VLOOKUP(N7,CM4:CO10,3,FALSE)</f>
        <v>100</v>
      </c>
      <c r="CQ3" s="222">
        <f>+O7/CP3</f>
        <v>0.01</v>
      </c>
      <c r="CV3" s="222">
        <f>VLOOKUP(N11,CS4:CU14,3,FALSE)</f>
        <v>0.45359240000000001</v>
      </c>
      <c r="CW3" s="222">
        <f>+O11/CV3</f>
        <v>2.2046224760379585</v>
      </c>
      <c r="DB3" s="222">
        <f>VLOOKUP(N15,CY4:DA8,3,FALSE)</f>
        <v>1</v>
      </c>
      <c r="DC3" s="222">
        <f>+O15/DB3</f>
        <v>1</v>
      </c>
      <c r="DH3" s="222">
        <f>VLOOKUP(N19,DE4:DG8,3,FALSE)</f>
        <v>1</v>
      </c>
      <c r="DI3" s="222">
        <f>+O19/DH3</f>
        <v>1</v>
      </c>
      <c r="DN3" s="222">
        <f>VLOOKUP(S3,DK4:DM8,3,FALSE)</f>
        <v>1</v>
      </c>
      <c r="DO3" s="222">
        <f>+T3/DN3</f>
        <v>1</v>
      </c>
      <c r="DT3" s="222">
        <f>VLOOKUP(S7,DQ4:DS8,3,FALSE)</f>
        <v>1</v>
      </c>
      <c r="DU3" s="222">
        <f>+T7/DT3</f>
        <v>1</v>
      </c>
      <c r="DZ3" s="222">
        <f>VLOOKUP(S11,DW4:DY8,3,FALSE)</f>
        <v>1000</v>
      </c>
      <c r="EA3" s="222">
        <f>+T11/DZ3</f>
        <v>1E-3</v>
      </c>
    </row>
    <row r="4" spans="1:131" ht="15" customHeight="1" x14ac:dyDescent="0.2">
      <c r="A4" s="216"/>
      <c r="B4" s="217"/>
      <c r="C4" s="217"/>
      <c r="D4" s="218">
        <v>6</v>
      </c>
      <c r="E4" s="223">
        <f>VLOOKUP(D4,Y4:AB12,4,FALSE)</f>
        <v>2000.0000000000002</v>
      </c>
      <c r="F4" s="220"/>
      <c r="G4" s="217"/>
      <c r="H4" s="217"/>
      <c r="I4" s="218">
        <v>1</v>
      </c>
      <c r="J4" s="223">
        <f>VLOOKUP(I4,BC4:BF15,4,FALSE)</f>
        <v>1.3410220384902829</v>
      </c>
      <c r="K4" s="220"/>
      <c r="L4" s="217"/>
      <c r="M4" s="217"/>
      <c r="N4" s="218">
        <v>5</v>
      </c>
      <c r="O4" s="223">
        <f>VLOOKUP(N4,CG4:CJ12,4,FALSE)</f>
        <v>6.7196900000000002E-4</v>
      </c>
      <c r="P4" s="220"/>
      <c r="Q4" s="217"/>
      <c r="R4" s="217"/>
      <c r="S4" s="218">
        <v>5</v>
      </c>
      <c r="T4" s="223">
        <f>VLOOKUP(S4,DK4:DN8,4,FALSE)</f>
        <v>3.1545909999999999</v>
      </c>
      <c r="U4" s="214"/>
      <c r="V4" s="210"/>
      <c r="Y4" s="224">
        <v>1</v>
      </c>
      <c r="Z4" s="222" t="s">
        <v>372</v>
      </c>
      <c r="AA4" s="225">
        <v>1.893939E-4</v>
      </c>
      <c r="AB4" s="222">
        <f t="shared" ref="AB4:AB12" si="0">+AA4*$AC$3</f>
        <v>1.2427421259842522</v>
      </c>
      <c r="AE4" s="224">
        <v>1</v>
      </c>
      <c r="AF4" s="222" t="s">
        <v>373</v>
      </c>
      <c r="AG4" s="225">
        <v>3.703704E-2</v>
      </c>
      <c r="AH4" s="222">
        <f t="shared" ref="AH4:AH14" si="1">+AG4*$AI$3</f>
        <v>3.703704E-2</v>
      </c>
      <c r="AK4" s="224">
        <v>1</v>
      </c>
      <c r="AL4" s="222" t="s">
        <v>374</v>
      </c>
      <c r="AM4" s="225">
        <v>3.7866750000000002E-4</v>
      </c>
      <c r="AN4" s="222">
        <f t="shared" ref="AN4:AN11" si="2">+AM4*$AO$3</f>
        <v>3.7866750000000002E-4</v>
      </c>
      <c r="AQ4" s="224">
        <v>1</v>
      </c>
      <c r="AR4" s="222" t="s">
        <v>375</v>
      </c>
      <c r="AS4" s="225">
        <v>1</v>
      </c>
      <c r="AT4" s="222">
        <f t="shared" ref="AT4:AT17" si="3">+AS4*$AU$3</f>
        <v>1</v>
      </c>
      <c r="AW4" s="224">
        <v>1</v>
      </c>
      <c r="AX4" s="222" t="s">
        <v>376</v>
      </c>
      <c r="AY4" s="225">
        <v>1</v>
      </c>
      <c r="AZ4" s="222">
        <f t="shared" ref="AZ4:AZ15" si="4">+AY4*$BA$3</f>
        <v>14.223342895212649</v>
      </c>
      <c r="BC4" s="224">
        <v>1</v>
      </c>
      <c r="BD4" s="222" t="s">
        <v>377</v>
      </c>
      <c r="BE4" s="225">
        <v>1</v>
      </c>
      <c r="BF4" s="222">
        <f t="shared" ref="BF4:BF15" si="5">+BE4*$BG$3</f>
        <v>1.3410220384902829</v>
      </c>
      <c r="BI4" s="224">
        <v>1</v>
      </c>
      <c r="BJ4" s="222" t="s">
        <v>378</v>
      </c>
      <c r="BK4" s="225">
        <v>3.9301480000000002E-4</v>
      </c>
      <c r="BL4" s="222">
        <f t="shared" ref="BL4:BL13" si="6">+BK4*$BM$3</f>
        <v>3.9301480000000002E-4</v>
      </c>
      <c r="BO4" s="224">
        <v>1</v>
      </c>
      <c r="BP4" s="222" t="s">
        <v>379</v>
      </c>
      <c r="BQ4" s="225">
        <v>9.842099999999999E-4</v>
      </c>
      <c r="BR4" s="222">
        <f t="shared" ref="BR4:BR14" si="7">+BQ4*$BS$3</f>
        <v>1</v>
      </c>
      <c r="BU4" s="224">
        <v>1</v>
      </c>
      <c r="BV4" s="222" t="s">
        <v>380</v>
      </c>
      <c r="BW4" s="225">
        <v>1</v>
      </c>
      <c r="BX4" s="222">
        <f t="shared" ref="BX4:BX14" si="8">+BW4*$BY$3</f>
        <v>10.763910416709722</v>
      </c>
      <c r="CA4" s="224">
        <v>1</v>
      </c>
      <c r="CB4" s="222" t="s">
        <v>381</v>
      </c>
      <c r="CC4" s="225">
        <v>1.6018460000000002E-2</v>
      </c>
      <c r="CD4" s="222">
        <f t="shared" ref="CD4:CD15" si="9">+CC4*$CE$3</f>
        <v>1.6018460000000002E-2</v>
      </c>
      <c r="CF4" s="215"/>
      <c r="CG4" s="224">
        <v>1</v>
      </c>
      <c r="CH4" s="222" t="s">
        <v>382</v>
      </c>
      <c r="CI4" s="222">
        <v>1</v>
      </c>
      <c r="CJ4" s="222">
        <f t="shared" ref="CJ4:CJ12" si="10">+CI4*$CK$3</f>
        <v>1</v>
      </c>
      <c r="CM4" s="224">
        <v>1</v>
      </c>
      <c r="CN4" s="222" t="s">
        <v>383</v>
      </c>
      <c r="CO4" s="222">
        <v>100</v>
      </c>
      <c r="CP4" s="222">
        <f t="shared" ref="CP4:CP10" si="11">+CO4*$CQ$3</f>
        <v>1</v>
      </c>
      <c r="CS4" s="224">
        <v>1</v>
      </c>
      <c r="CT4" s="222" t="s">
        <v>384</v>
      </c>
      <c r="CU4" s="225">
        <v>2.777778E-4</v>
      </c>
      <c r="CV4" s="222">
        <f t="shared" ref="CV4:CV14" si="12">+CU4*$CW$3</f>
        <v>6.1239518122437682E-4</v>
      </c>
      <c r="CY4" s="224">
        <v>1</v>
      </c>
      <c r="CZ4" s="222" t="s">
        <v>385</v>
      </c>
      <c r="DA4" s="225">
        <v>1</v>
      </c>
      <c r="DB4" s="222">
        <f>+DA4*$DC$3</f>
        <v>1</v>
      </c>
      <c r="DE4" s="224">
        <v>1</v>
      </c>
      <c r="DF4" s="222" t="s">
        <v>386</v>
      </c>
      <c r="DG4" s="225">
        <v>1</v>
      </c>
      <c r="DH4" s="222">
        <f>+DG4*$DI$3</f>
        <v>1</v>
      </c>
      <c r="DK4" s="224">
        <v>1</v>
      </c>
      <c r="DL4" s="222" t="s">
        <v>387</v>
      </c>
      <c r="DM4" s="225">
        <v>1</v>
      </c>
      <c r="DN4" s="222">
        <f>+DM4*$DO$3</f>
        <v>1</v>
      </c>
      <c r="DQ4" s="224">
        <v>1</v>
      </c>
      <c r="DR4" s="222" t="s">
        <v>388</v>
      </c>
      <c r="DS4" s="225">
        <v>1</v>
      </c>
      <c r="DT4" s="222">
        <f>+DS4*$DU$3</f>
        <v>1</v>
      </c>
      <c r="DW4" s="224">
        <v>1</v>
      </c>
      <c r="DX4" s="222" t="s">
        <v>389</v>
      </c>
      <c r="DY4" s="225">
        <v>1</v>
      </c>
      <c r="DZ4" s="222">
        <f>+DY4*$EA$3</f>
        <v>1E-3</v>
      </c>
    </row>
    <row r="5" spans="1:131" ht="15" customHeight="1" x14ac:dyDescent="0.2">
      <c r="A5" s="226"/>
      <c r="B5" s="208"/>
      <c r="C5" s="208"/>
      <c r="D5" s="208"/>
      <c r="E5" s="227"/>
      <c r="F5" s="208"/>
      <c r="G5" s="208"/>
      <c r="H5" s="208"/>
      <c r="I5" s="208"/>
      <c r="J5" s="227"/>
      <c r="K5" s="208"/>
      <c r="L5" s="208"/>
      <c r="M5" s="208"/>
      <c r="N5" s="208"/>
      <c r="O5" s="227"/>
      <c r="P5" s="208"/>
      <c r="Q5" s="208"/>
      <c r="R5" s="208"/>
      <c r="S5" s="208"/>
      <c r="T5" s="227"/>
      <c r="U5" s="209"/>
      <c r="V5" s="210"/>
      <c r="Y5" s="224">
        <v>2</v>
      </c>
      <c r="Z5" s="222" t="s">
        <v>390</v>
      </c>
      <c r="AA5" s="222">
        <v>0.3333334</v>
      </c>
      <c r="AB5" s="222">
        <f t="shared" si="0"/>
        <v>2187.227034120735</v>
      </c>
      <c r="AE5" s="224">
        <v>2</v>
      </c>
      <c r="AF5" s="222" t="s">
        <v>391</v>
      </c>
      <c r="AG5" s="222">
        <v>0.1781076</v>
      </c>
      <c r="AH5" s="222">
        <f t="shared" si="1"/>
        <v>0.1781076</v>
      </c>
      <c r="AK5" s="224">
        <v>2</v>
      </c>
      <c r="AL5" s="222" t="s">
        <v>392</v>
      </c>
      <c r="AM5" s="225">
        <v>9.0880189999999993E-3</v>
      </c>
      <c r="AN5" s="222">
        <f t="shared" si="2"/>
        <v>9.0880189999999993E-3</v>
      </c>
      <c r="AQ5" s="224">
        <v>2</v>
      </c>
      <c r="AR5" s="222" t="s">
        <v>393</v>
      </c>
      <c r="AS5" s="225">
        <v>60</v>
      </c>
      <c r="AT5" s="222">
        <f t="shared" si="3"/>
        <v>60</v>
      </c>
      <c r="AW5" s="224">
        <v>2</v>
      </c>
      <c r="AX5" s="222" t="s">
        <v>394</v>
      </c>
      <c r="AY5" s="225">
        <v>2.0417719999999999</v>
      </c>
      <c r="AZ5" s="222">
        <f t="shared" si="4"/>
        <v>29.040823269844122</v>
      </c>
      <c r="BC5" s="224">
        <v>2</v>
      </c>
      <c r="BD5" s="222" t="s">
        <v>395</v>
      </c>
      <c r="BE5" s="222">
        <v>1.0139</v>
      </c>
      <c r="BF5" s="222">
        <f t="shared" si="5"/>
        <v>1.359662244825298</v>
      </c>
      <c r="BI5" s="224">
        <v>2</v>
      </c>
      <c r="BJ5" s="222" t="s">
        <v>396</v>
      </c>
      <c r="BK5" s="222">
        <v>1</v>
      </c>
      <c r="BL5" s="222">
        <f t="shared" si="6"/>
        <v>1</v>
      </c>
      <c r="BO5" s="224">
        <v>2</v>
      </c>
      <c r="BP5" s="222" t="s">
        <v>397</v>
      </c>
      <c r="BQ5" s="225">
        <v>1.1023000000000001E-3</v>
      </c>
      <c r="BR5" s="222">
        <f t="shared" si="7"/>
        <v>1.1199845561414741</v>
      </c>
      <c r="BU5" s="224">
        <v>2</v>
      </c>
      <c r="BV5" s="222" t="s">
        <v>398</v>
      </c>
      <c r="BW5" s="225">
        <v>144</v>
      </c>
      <c r="BX5" s="222">
        <f t="shared" si="8"/>
        <v>1550.0031000061999</v>
      </c>
      <c r="CA5" s="224">
        <v>2</v>
      </c>
      <c r="CB5" s="222" t="s">
        <v>399</v>
      </c>
      <c r="CC5" s="225">
        <v>1.6018460000000002E-2</v>
      </c>
      <c r="CD5" s="222">
        <f t="shared" si="9"/>
        <v>1.6018460000000002E-2</v>
      </c>
      <c r="CF5" s="215"/>
      <c r="CG5" s="224">
        <v>2</v>
      </c>
      <c r="CH5" s="222" t="s">
        <v>400</v>
      </c>
      <c r="CI5" s="222">
        <v>0.01</v>
      </c>
      <c r="CJ5" s="222">
        <f t="shared" si="10"/>
        <v>0.01</v>
      </c>
      <c r="CM5" s="224">
        <v>2</v>
      </c>
      <c r="CN5" s="222" t="s">
        <v>401</v>
      </c>
      <c r="CO5" s="222">
        <v>1</v>
      </c>
      <c r="CP5" s="222">
        <f t="shared" si="11"/>
        <v>0.01</v>
      </c>
      <c r="CS5" s="224">
        <v>2</v>
      </c>
      <c r="CT5" s="222" t="s">
        <v>402</v>
      </c>
      <c r="CU5" s="225">
        <v>1.6666670000000001E-2</v>
      </c>
      <c r="CV5" s="222">
        <f t="shared" si="12"/>
        <v>3.6743715282707562E-2</v>
      </c>
      <c r="CY5" s="224">
        <v>2</v>
      </c>
      <c r="CZ5" s="222" t="s">
        <v>403</v>
      </c>
      <c r="DA5" s="225">
        <v>1.35623E-4</v>
      </c>
      <c r="DB5" s="222">
        <f>+DA5*$DC$3</f>
        <v>1.35623E-4</v>
      </c>
      <c r="DE5" s="224">
        <v>2</v>
      </c>
      <c r="DF5" s="222" t="s">
        <v>404</v>
      </c>
      <c r="DG5" s="225">
        <v>4.1337889999999997E-3</v>
      </c>
      <c r="DH5" s="222">
        <f>+DG5*$DI$3</f>
        <v>4.1337889999999997E-3</v>
      </c>
      <c r="DK5" s="224">
        <v>2</v>
      </c>
      <c r="DL5" s="222" t="s">
        <v>405</v>
      </c>
      <c r="DM5" s="225">
        <v>7.5346110000000001E-5</v>
      </c>
      <c r="DN5" s="222">
        <f>+DM5*$DO$3</f>
        <v>7.5346110000000001E-5</v>
      </c>
      <c r="DQ5" s="224">
        <v>2</v>
      </c>
      <c r="DR5" s="222" t="s">
        <v>406</v>
      </c>
      <c r="DS5" s="225">
        <v>0.55555560000000004</v>
      </c>
      <c r="DT5" s="222">
        <f>+DS5*$DU$3</f>
        <v>0.55555560000000004</v>
      </c>
      <c r="DW5" s="224">
        <v>2</v>
      </c>
      <c r="DX5" s="222" t="s">
        <v>407</v>
      </c>
      <c r="DY5" s="225">
        <v>1</v>
      </c>
      <c r="DZ5" s="222">
        <f>+DY5*$EA$3</f>
        <v>1E-3</v>
      </c>
    </row>
    <row r="6" spans="1:131" ht="15" customHeight="1" x14ac:dyDescent="0.2">
      <c r="A6" s="228"/>
      <c r="B6" s="622" t="s">
        <v>408</v>
      </c>
      <c r="C6" s="622"/>
      <c r="D6" s="622"/>
      <c r="E6" s="622"/>
      <c r="F6" s="213"/>
      <c r="G6" s="622" t="s">
        <v>409</v>
      </c>
      <c r="H6" s="622"/>
      <c r="I6" s="622"/>
      <c r="J6" s="622"/>
      <c r="K6" s="213"/>
      <c r="L6" s="622" t="s">
        <v>410</v>
      </c>
      <c r="M6" s="622"/>
      <c r="N6" s="622"/>
      <c r="O6" s="622"/>
      <c r="P6" s="213"/>
      <c r="Q6" s="622" t="s">
        <v>411</v>
      </c>
      <c r="R6" s="622"/>
      <c r="S6" s="622"/>
      <c r="T6" s="622"/>
      <c r="U6" s="214"/>
      <c r="V6" s="210"/>
      <c r="Y6" s="224">
        <v>3</v>
      </c>
      <c r="Z6" s="222" t="s">
        <v>412</v>
      </c>
      <c r="AA6" s="222">
        <v>1</v>
      </c>
      <c r="AB6" s="222">
        <f t="shared" si="0"/>
        <v>6561.6797900262472</v>
      </c>
      <c r="AE6" s="224">
        <v>3</v>
      </c>
      <c r="AF6" s="222" t="s">
        <v>413</v>
      </c>
      <c r="AG6" s="222">
        <v>1</v>
      </c>
      <c r="AH6" s="222">
        <f t="shared" si="1"/>
        <v>1</v>
      </c>
      <c r="AK6" s="224">
        <v>3</v>
      </c>
      <c r="AL6" s="222" t="s">
        <v>414</v>
      </c>
      <c r="AM6" s="222">
        <v>0.37866749999999999</v>
      </c>
      <c r="AN6" s="222">
        <f t="shared" si="2"/>
        <v>0.37866749999999999</v>
      </c>
      <c r="AQ6" s="224">
        <v>3</v>
      </c>
      <c r="AR6" s="222" t="s">
        <v>415</v>
      </c>
      <c r="AS6" s="222">
        <v>3600</v>
      </c>
      <c r="AT6" s="222">
        <f t="shared" si="3"/>
        <v>3600</v>
      </c>
      <c r="AW6" s="224">
        <v>3</v>
      </c>
      <c r="AX6" s="222" t="s">
        <v>416</v>
      </c>
      <c r="AY6" s="222">
        <v>51.71508</v>
      </c>
      <c r="AZ6" s="222">
        <f t="shared" si="4"/>
        <v>735.56131569335378</v>
      </c>
      <c r="BC6" s="224">
        <v>3</v>
      </c>
      <c r="BD6" s="222" t="s">
        <v>417</v>
      </c>
      <c r="BE6" s="225">
        <v>0.21203929999999999</v>
      </c>
      <c r="BF6" s="222">
        <f t="shared" si="5"/>
        <v>0.28434937432605262</v>
      </c>
      <c r="BI6" s="224">
        <v>3</v>
      </c>
      <c r="BJ6" s="222" t="s">
        <v>418</v>
      </c>
      <c r="BK6" s="225">
        <v>778.16930000000002</v>
      </c>
      <c r="BL6" s="222">
        <f t="shared" si="6"/>
        <v>778.16930000000002</v>
      </c>
      <c r="BO6" s="224">
        <v>3</v>
      </c>
      <c r="BP6" s="222" t="s">
        <v>419</v>
      </c>
      <c r="BQ6" s="225">
        <v>1E-3</v>
      </c>
      <c r="BR6" s="222">
        <f t="shared" si="7"/>
        <v>1.0160433240873392</v>
      </c>
      <c r="BU6" s="224">
        <v>3</v>
      </c>
      <c r="BV6" s="222" t="s">
        <v>420</v>
      </c>
      <c r="BW6" s="225">
        <v>0.1111111</v>
      </c>
      <c r="BX6" s="222">
        <f t="shared" si="8"/>
        <v>1.1959899267020757</v>
      </c>
      <c r="CA6" s="224">
        <v>3</v>
      </c>
      <c r="CB6" s="222" t="s">
        <v>421</v>
      </c>
      <c r="CC6" s="225">
        <v>16.018460000000001</v>
      </c>
      <c r="CD6" s="222">
        <f t="shared" si="9"/>
        <v>16.018460000000001</v>
      </c>
      <c r="CF6" s="215"/>
      <c r="CG6" s="224">
        <v>3</v>
      </c>
      <c r="CH6" s="222" t="s">
        <v>422</v>
      </c>
      <c r="CI6" s="222">
        <v>1E-3</v>
      </c>
      <c r="CJ6" s="222">
        <f t="shared" si="10"/>
        <v>1E-3</v>
      </c>
      <c r="CM6" s="224">
        <v>3</v>
      </c>
      <c r="CN6" s="222" t="s">
        <v>423</v>
      </c>
      <c r="CO6" s="222">
        <v>1.0763909999999999E-3</v>
      </c>
      <c r="CP6" s="222">
        <f t="shared" si="11"/>
        <v>1.0763909999999999E-5</v>
      </c>
      <c r="CS6" s="224">
        <v>3</v>
      </c>
      <c r="CT6" s="222" t="s">
        <v>424</v>
      </c>
      <c r="CU6" s="222">
        <v>1</v>
      </c>
      <c r="CV6" s="222">
        <f t="shared" si="12"/>
        <v>2.2046224760379585</v>
      </c>
      <c r="CY6" s="224">
        <v>3</v>
      </c>
      <c r="CZ6" s="222" t="s">
        <v>425</v>
      </c>
      <c r="DA6" s="225">
        <v>5.6782640000000004E-4</v>
      </c>
      <c r="DB6" s="222">
        <f>+DA6*$DC$3</f>
        <v>5.6782640000000004E-4</v>
      </c>
      <c r="DE6" s="224">
        <v>3</v>
      </c>
      <c r="DF6" s="222" t="s">
        <v>426</v>
      </c>
      <c r="DG6" s="225">
        <v>1.7307349999999999E-2</v>
      </c>
      <c r="DH6" s="222">
        <f>+DG6*$DI$3</f>
        <v>1.7307349999999999E-2</v>
      </c>
      <c r="DK6" s="224">
        <v>3</v>
      </c>
      <c r="DL6" s="222" t="s">
        <v>427</v>
      </c>
      <c r="DM6" s="225">
        <v>3.1545910000000001E-4</v>
      </c>
      <c r="DN6" s="222">
        <f>+DM6*$DO$3</f>
        <v>3.1545910000000001E-4</v>
      </c>
      <c r="DQ6" s="224">
        <v>3</v>
      </c>
      <c r="DR6" s="222" t="s">
        <v>428</v>
      </c>
      <c r="DS6" s="225">
        <v>2.3260000000000001</v>
      </c>
      <c r="DT6" s="222">
        <f>+DS6*$DU$3</f>
        <v>2.3260000000000001</v>
      </c>
      <c r="DW6" s="224">
        <v>3</v>
      </c>
      <c r="DX6" s="222" t="s">
        <v>429</v>
      </c>
      <c r="DY6" s="225">
        <v>4.1867999999999999</v>
      </c>
      <c r="DZ6" s="222">
        <f>+DY6*$EA$3</f>
        <v>4.1868000000000001E-3</v>
      </c>
    </row>
    <row r="7" spans="1:131" ht="15" customHeight="1" x14ac:dyDescent="0.2">
      <c r="A7" s="229"/>
      <c r="B7" s="217"/>
      <c r="C7" s="217"/>
      <c r="D7" s="218">
        <v>3</v>
      </c>
      <c r="E7" s="219">
        <v>1</v>
      </c>
      <c r="F7" s="220"/>
      <c r="G7" s="217"/>
      <c r="H7" s="217"/>
      <c r="I7" s="218">
        <v>2</v>
      </c>
      <c r="J7" s="219">
        <v>1</v>
      </c>
      <c r="K7" s="220"/>
      <c r="L7" s="217"/>
      <c r="M7" s="217"/>
      <c r="N7" s="218">
        <v>1</v>
      </c>
      <c r="O7" s="219">
        <v>1</v>
      </c>
      <c r="P7" s="220"/>
      <c r="Q7" s="217"/>
      <c r="R7" s="217"/>
      <c r="S7" s="218">
        <v>1</v>
      </c>
      <c r="T7" s="219">
        <v>1</v>
      </c>
      <c r="U7" s="214"/>
      <c r="V7" s="210"/>
      <c r="Y7" s="224">
        <v>4</v>
      </c>
      <c r="Z7" s="222" t="s">
        <v>430</v>
      </c>
      <c r="AA7" s="222">
        <v>12</v>
      </c>
      <c r="AB7" s="222">
        <f t="shared" si="0"/>
        <v>78740.157480314971</v>
      </c>
      <c r="AE7" s="224">
        <v>4</v>
      </c>
      <c r="AF7" s="222" t="s">
        <v>431</v>
      </c>
      <c r="AG7" s="222">
        <v>6.2288329999999998</v>
      </c>
      <c r="AH7" s="222">
        <f t="shared" si="1"/>
        <v>6.2288329999999998</v>
      </c>
      <c r="AK7" s="224">
        <v>4</v>
      </c>
      <c r="AL7" s="222" t="s">
        <v>432</v>
      </c>
      <c r="AM7" s="222">
        <v>9.0880179999999999</v>
      </c>
      <c r="AN7" s="222">
        <f t="shared" si="2"/>
        <v>9.0880179999999999</v>
      </c>
      <c r="AQ7" s="224">
        <v>4</v>
      </c>
      <c r="AR7" s="222" t="s">
        <v>433</v>
      </c>
      <c r="AS7" s="222">
        <v>641.18740000000003</v>
      </c>
      <c r="AT7" s="222">
        <f t="shared" si="3"/>
        <v>641.18740000000003</v>
      </c>
      <c r="AW7" s="224">
        <v>4</v>
      </c>
      <c r="AX7" s="222" t="s">
        <v>434</v>
      </c>
      <c r="AY7" s="222">
        <v>2.3089659999999999</v>
      </c>
      <c r="AZ7" s="222">
        <f t="shared" si="4"/>
        <v>32.841215151387566</v>
      </c>
      <c r="BC7" s="224">
        <v>4</v>
      </c>
      <c r="BD7" s="222" t="s">
        <v>435</v>
      </c>
      <c r="BE7" s="222">
        <v>42.390549999999998</v>
      </c>
      <c r="BF7" s="222">
        <f t="shared" si="5"/>
        <v>56.846661773724257</v>
      </c>
      <c r="BI7" s="224">
        <v>4</v>
      </c>
      <c r="BJ7" s="222" t="s">
        <v>436</v>
      </c>
      <c r="BK7" s="225">
        <v>2.9307109999999998E-4</v>
      </c>
      <c r="BL7" s="222">
        <f t="shared" si="6"/>
        <v>2.9307109999999998E-4</v>
      </c>
      <c r="BO7" s="224">
        <v>4</v>
      </c>
      <c r="BP7" s="222" t="s">
        <v>437</v>
      </c>
      <c r="BQ7" s="225">
        <v>2.2046000000000001</v>
      </c>
      <c r="BR7" s="222">
        <f t="shared" si="7"/>
        <v>2239.9691122829481</v>
      </c>
      <c r="BU7" s="224">
        <v>4</v>
      </c>
      <c r="BV7" s="222" t="s">
        <v>438</v>
      </c>
      <c r="BW7" s="225">
        <v>3.5870069999999999E-8</v>
      </c>
      <c r="BX7" s="222">
        <f t="shared" si="8"/>
        <v>3.8610222012110687E-7</v>
      </c>
      <c r="CA7" s="224">
        <v>4</v>
      </c>
      <c r="CB7" s="222" t="s">
        <v>439</v>
      </c>
      <c r="CC7" s="225">
        <v>60.636450799999999</v>
      </c>
      <c r="CD7" s="222">
        <f t="shared" si="9"/>
        <v>60.636450799999999</v>
      </c>
      <c r="CF7" s="215"/>
      <c r="CG7" s="224">
        <v>4</v>
      </c>
      <c r="CH7" s="222" t="s">
        <v>440</v>
      </c>
      <c r="CI7" s="222">
        <v>2.4190879999999999</v>
      </c>
      <c r="CJ7" s="222">
        <f t="shared" si="10"/>
        <v>2.4190879999999999</v>
      </c>
      <c r="CM7" s="224">
        <v>4</v>
      </c>
      <c r="CN7" s="222" t="s">
        <v>441</v>
      </c>
      <c r="CO7" s="222">
        <v>3.8750079999999998</v>
      </c>
      <c r="CP7" s="222">
        <f t="shared" si="11"/>
        <v>3.8750079999999999E-2</v>
      </c>
      <c r="CS7" s="224">
        <v>4</v>
      </c>
      <c r="CT7" s="222" t="s">
        <v>442</v>
      </c>
      <c r="CU7" s="222">
        <v>24</v>
      </c>
      <c r="CV7" s="222">
        <f t="shared" si="12"/>
        <v>52.910939424911007</v>
      </c>
      <c r="CY7" s="224">
        <v>4</v>
      </c>
      <c r="CZ7" s="222" t="s">
        <v>443</v>
      </c>
      <c r="DA7" s="222">
        <v>4.882428</v>
      </c>
      <c r="DB7" s="222">
        <f>+DA7*$DC$3</f>
        <v>4.882428</v>
      </c>
      <c r="DE7" s="224">
        <v>4</v>
      </c>
      <c r="DF7" s="222" t="s">
        <v>444</v>
      </c>
      <c r="DG7" s="222">
        <v>1.488164</v>
      </c>
      <c r="DH7" s="222">
        <f>+DG7*$DI$3</f>
        <v>1.488164</v>
      </c>
      <c r="DK7" s="224">
        <v>4</v>
      </c>
      <c r="DL7" s="222" t="s">
        <v>445</v>
      </c>
      <c r="DM7" s="222">
        <v>2.7124600000000001</v>
      </c>
      <c r="DN7" s="222">
        <f>+DM7*$DO$3</f>
        <v>2.7124600000000001</v>
      </c>
      <c r="DQ7" s="224">
        <v>4</v>
      </c>
      <c r="DR7" s="222" t="s">
        <v>446</v>
      </c>
      <c r="DS7" s="222">
        <v>555.55560000000003</v>
      </c>
      <c r="DT7" s="222">
        <f>+DS7*$DU$3</f>
        <v>555.55560000000003</v>
      </c>
      <c r="DW7" s="224">
        <v>4</v>
      </c>
      <c r="DX7" s="222" t="s">
        <v>447</v>
      </c>
      <c r="DY7" s="222">
        <v>1000</v>
      </c>
      <c r="DZ7" s="222">
        <f>+DY7*$EA$3</f>
        <v>1</v>
      </c>
    </row>
    <row r="8" spans="1:131" ht="15" customHeight="1" x14ac:dyDescent="0.2">
      <c r="A8" s="229"/>
      <c r="B8" s="217"/>
      <c r="C8" s="217"/>
      <c r="D8" s="218">
        <v>9</v>
      </c>
      <c r="E8" s="223">
        <f>VLOOKUP(D8,AE4:AH14,4,FALSE)</f>
        <v>28.316849999999999</v>
      </c>
      <c r="F8" s="220"/>
      <c r="G8" s="217"/>
      <c r="H8" s="217"/>
      <c r="I8" s="218">
        <v>4</v>
      </c>
      <c r="J8" s="223">
        <f>VLOOKUP(I8,BI4:BL13,4,FALSE)</f>
        <v>2.9307109999999998E-4</v>
      </c>
      <c r="K8" s="220"/>
      <c r="L8" s="217"/>
      <c r="M8" s="217"/>
      <c r="N8" s="218">
        <v>5</v>
      </c>
      <c r="O8" s="223">
        <f>VLOOKUP(N8,CM4:CP10,4,FALSE)</f>
        <v>1.0000000000000002E-6</v>
      </c>
      <c r="P8" s="220"/>
      <c r="Q8" s="217"/>
      <c r="R8" s="217"/>
      <c r="S8" s="218">
        <v>5</v>
      </c>
      <c r="T8" s="223">
        <f>VLOOKUP(S8,DQ4:DT8,4,FALSE)</f>
        <v>2326</v>
      </c>
      <c r="U8" s="214"/>
      <c r="V8" s="210"/>
      <c r="Y8" s="224">
        <v>5</v>
      </c>
      <c r="Z8" s="222" t="s">
        <v>448</v>
      </c>
      <c r="AA8" s="225">
        <v>3.0479999999999998E-4</v>
      </c>
      <c r="AB8" s="222">
        <f t="shared" si="0"/>
        <v>2</v>
      </c>
      <c r="AE8" s="224">
        <v>5</v>
      </c>
      <c r="AF8" s="222" t="s">
        <v>449</v>
      </c>
      <c r="AG8" s="225">
        <v>7.4805190000000001</v>
      </c>
      <c r="AH8" s="222">
        <f t="shared" si="1"/>
        <v>7.4805190000000001</v>
      </c>
      <c r="AK8" s="224">
        <v>5</v>
      </c>
      <c r="AL8" s="222" t="s">
        <v>450</v>
      </c>
      <c r="AM8" s="225">
        <v>1</v>
      </c>
      <c r="AN8" s="222">
        <f t="shared" si="2"/>
        <v>1</v>
      </c>
      <c r="AQ8" s="224">
        <v>5</v>
      </c>
      <c r="AR8" s="222" t="s">
        <v>451</v>
      </c>
      <c r="AS8" s="225">
        <v>15388.5</v>
      </c>
      <c r="AT8" s="222">
        <f t="shared" si="3"/>
        <v>15388.5</v>
      </c>
      <c r="AW8" s="224">
        <v>5</v>
      </c>
      <c r="AX8" s="222" t="s">
        <v>452</v>
      </c>
      <c r="AY8" s="225">
        <v>27.70759</v>
      </c>
      <c r="AZ8" s="222">
        <f t="shared" si="4"/>
        <v>394.09455336996507</v>
      </c>
      <c r="BC8" s="224">
        <v>5</v>
      </c>
      <c r="BD8" s="222" t="s">
        <v>453</v>
      </c>
      <c r="BE8" s="222">
        <v>2544.433</v>
      </c>
      <c r="BF8" s="222">
        <f t="shared" si="5"/>
        <v>3412.1407284619459</v>
      </c>
      <c r="BI8" s="224">
        <v>5</v>
      </c>
      <c r="BJ8" s="222" t="s">
        <v>454</v>
      </c>
      <c r="BK8" s="222">
        <v>252.1644</v>
      </c>
      <c r="BL8" s="222">
        <f t="shared" si="6"/>
        <v>252.1644</v>
      </c>
      <c r="BO8" s="224">
        <v>5</v>
      </c>
      <c r="BP8" s="222" t="s">
        <v>455</v>
      </c>
      <c r="BQ8" s="222">
        <v>35.274000000000001</v>
      </c>
      <c r="BR8" s="222">
        <f t="shared" si="7"/>
        <v>35839.912213856805</v>
      </c>
      <c r="BU8" s="224">
        <v>5</v>
      </c>
      <c r="BV8" s="222" t="s">
        <v>456</v>
      </c>
      <c r="BW8" s="222">
        <v>92903.039999999994</v>
      </c>
      <c r="BX8" s="222">
        <f t="shared" si="8"/>
        <v>999999.99999999988</v>
      </c>
      <c r="CA8" s="224">
        <v>5</v>
      </c>
      <c r="CB8" s="222" t="s">
        <v>457</v>
      </c>
      <c r="CC8" s="222">
        <v>16.018460000000001</v>
      </c>
      <c r="CD8" s="222">
        <f t="shared" si="9"/>
        <v>16.018460000000001</v>
      </c>
      <c r="CF8" s="215"/>
      <c r="CG8" s="224">
        <v>5</v>
      </c>
      <c r="CH8" s="222" t="s">
        <v>458</v>
      </c>
      <c r="CI8" s="225">
        <v>6.7196900000000002E-4</v>
      </c>
      <c r="CJ8" s="222">
        <f t="shared" si="10"/>
        <v>6.7196900000000002E-4</v>
      </c>
      <c r="CM8" s="224">
        <v>5</v>
      </c>
      <c r="CN8" s="222" t="s">
        <v>459</v>
      </c>
      <c r="CO8" s="225">
        <v>1E-4</v>
      </c>
      <c r="CP8" s="222">
        <f t="shared" si="11"/>
        <v>1.0000000000000002E-6</v>
      </c>
      <c r="CS8" s="224">
        <v>5</v>
      </c>
      <c r="CT8" s="222" t="s">
        <v>460</v>
      </c>
      <c r="CU8" s="225">
        <v>1.2599789999999999E-4</v>
      </c>
      <c r="CV8" s="222">
        <f t="shared" si="12"/>
        <v>2.7777780227358306E-4</v>
      </c>
      <c r="CY8" s="224">
        <v>5</v>
      </c>
      <c r="CZ8" s="222" t="s">
        <v>461</v>
      </c>
      <c r="DA8" s="225">
        <v>5.6782640000000004</v>
      </c>
      <c r="DB8" s="222">
        <f>+DA8*$DC$3</f>
        <v>5.6782640000000004</v>
      </c>
      <c r="DE8" s="224">
        <v>5</v>
      </c>
      <c r="DF8" s="222" t="s">
        <v>462</v>
      </c>
      <c r="DG8" s="225">
        <v>1.7307349999999999</v>
      </c>
      <c r="DH8" s="222">
        <f>+DG8*$DI$3</f>
        <v>1.7307349999999999</v>
      </c>
      <c r="DK8" s="224">
        <v>5</v>
      </c>
      <c r="DL8" s="222" t="s">
        <v>463</v>
      </c>
      <c r="DM8" s="225">
        <v>3.1545909999999999</v>
      </c>
      <c r="DN8" s="222">
        <f>+DM8*$DO$3</f>
        <v>3.1545909999999999</v>
      </c>
      <c r="DQ8" s="224">
        <v>5</v>
      </c>
      <c r="DR8" s="222" t="s">
        <v>464</v>
      </c>
      <c r="DS8" s="225">
        <v>2326</v>
      </c>
      <c r="DT8" s="222">
        <f>+DS8*$DU$3</f>
        <v>2326</v>
      </c>
      <c r="DW8" s="224">
        <v>5</v>
      </c>
      <c r="DX8" s="222" t="s">
        <v>465</v>
      </c>
      <c r="DY8" s="225">
        <v>4186.8</v>
      </c>
      <c r="DZ8" s="222">
        <f>+DY8*$EA$3</f>
        <v>4.1867999999999999</v>
      </c>
    </row>
    <row r="9" spans="1:131" ht="15" customHeight="1" x14ac:dyDescent="0.2">
      <c r="A9" s="226"/>
      <c r="B9" s="208"/>
      <c r="C9" s="208"/>
      <c r="D9" s="208"/>
      <c r="E9" s="227"/>
      <c r="F9" s="208"/>
      <c r="G9" s="208"/>
      <c r="H9" s="208"/>
      <c r="I9" s="208"/>
      <c r="J9" s="227"/>
      <c r="K9" s="208"/>
      <c r="L9" s="208"/>
      <c r="M9" s="208"/>
      <c r="N9" s="208"/>
      <c r="O9" s="227"/>
      <c r="P9" s="208"/>
      <c r="Q9" s="208"/>
      <c r="R9" s="208"/>
      <c r="S9" s="208"/>
      <c r="T9" s="227"/>
      <c r="U9" s="209"/>
      <c r="Y9" s="224">
        <v>6</v>
      </c>
      <c r="Z9" s="222" t="s">
        <v>466</v>
      </c>
      <c r="AA9" s="225">
        <v>0.30480000000000002</v>
      </c>
      <c r="AB9" s="222">
        <f t="shared" si="0"/>
        <v>2000.0000000000002</v>
      </c>
      <c r="AE9" s="224">
        <v>6</v>
      </c>
      <c r="AF9" s="222" t="s">
        <v>467</v>
      </c>
      <c r="AG9" s="222">
        <v>957.50649999999996</v>
      </c>
      <c r="AH9" s="222">
        <f t="shared" si="1"/>
        <v>957.50649999999996</v>
      </c>
      <c r="AK9" s="224">
        <v>6</v>
      </c>
      <c r="AL9" s="222" t="s">
        <v>468</v>
      </c>
      <c r="AM9" s="222">
        <v>24</v>
      </c>
      <c r="AN9" s="222">
        <f t="shared" si="2"/>
        <v>24</v>
      </c>
      <c r="AQ9" s="224">
        <v>6</v>
      </c>
      <c r="AR9" s="222" t="s">
        <v>469</v>
      </c>
      <c r="AS9" s="222">
        <v>448.83120000000002</v>
      </c>
      <c r="AT9" s="222">
        <f t="shared" si="3"/>
        <v>448.83120000000002</v>
      </c>
      <c r="AW9" s="224">
        <v>6</v>
      </c>
      <c r="AX9" s="222" t="s">
        <v>470</v>
      </c>
      <c r="AY9" s="222">
        <v>51.71508</v>
      </c>
      <c r="AZ9" s="222">
        <f t="shared" si="4"/>
        <v>735.56131569335378</v>
      </c>
      <c r="BC9" s="224">
        <v>6</v>
      </c>
      <c r="BD9" s="222" t="s">
        <v>275</v>
      </c>
      <c r="BE9" s="222">
        <v>0.74569989999999997</v>
      </c>
      <c r="BF9" s="222">
        <f t="shared" si="5"/>
        <v>1</v>
      </c>
      <c r="BI9" s="224">
        <v>6</v>
      </c>
      <c r="BJ9" s="222" t="s">
        <v>471</v>
      </c>
      <c r="BK9" s="222">
        <v>0.25216440000000001</v>
      </c>
      <c r="BL9" s="222">
        <f t="shared" si="6"/>
        <v>0.25216440000000001</v>
      </c>
      <c r="BO9" s="224">
        <v>6</v>
      </c>
      <c r="BP9" s="222" t="s">
        <v>472</v>
      </c>
      <c r="BQ9" s="222">
        <v>1</v>
      </c>
      <c r="BR9" s="222">
        <f t="shared" si="7"/>
        <v>1016.0433240873392</v>
      </c>
      <c r="BU9" s="224">
        <v>6</v>
      </c>
      <c r="BV9" s="222" t="s">
        <v>473</v>
      </c>
      <c r="BW9" s="222">
        <v>929.03039999999999</v>
      </c>
      <c r="BX9" s="222">
        <f t="shared" si="8"/>
        <v>10000</v>
      </c>
      <c r="CA9" s="224">
        <v>6</v>
      </c>
      <c r="CB9" s="222" t="s">
        <v>474</v>
      </c>
      <c r="CC9" s="225">
        <v>5.7870369999999999E-4</v>
      </c>
      <c r="CD9" s="222">
        <f t="shared" si="9"/>
        <v>5.7870369999999999E-4</v>
      </c>
      <c r="CF9" s="215"/>
      <c r="CG9" s="224">
        <v>6</v>
      </c>
      <c r="CH9" s="222" t="s">
        <v>475</v>
      </c>
      <c r="CI9" s="225">
        <v>2.0885440000000001E-5</v>
      </c>
      <c r="CJ9" s="222">
        <f t="shared" si="10"/>
        <v>2.0885440000000001E-5</v>
      </c>
      <c r="CM9" s="224">
        <v>6</v>
      </c>
      <c r="CN9" s="222" t="s">
        <v>476</v>
      </c>
      <c r="CO9" s="225">
        <v>0.36</v>
      </c>
      <c r="CP9" s="222">
        <f t="shared" si="11"/>
        <v>3.5999999999999999E-3</v>
      </c>
      <c r="CS9" s="224">
        <v>6</v>
      </c>
      <c r="CT9" s="222" t="s">
        <v>477</v>
      </c>
      <c r="CU9" s="225">
        <v>7.5598729999999999E-3</v>
      </c>
      <c r="CV9" s="222">
        <f t="shared" si="12"/>
        <v>1.6666665931792508E-2</v>
      </c>
      <c r="CY9" s="224"/>
      <c r="CZ9" s="222"/>
      <c r="DA9" s="225"/>
      <c r="DE9" s="224"/>
      <c r="DF9" s="222"/>
      <c r="DG9" s="225"/>
      <c r="DK9" s="224"/>
      <c r="DL9" s="222"/>
      <c r="DM9" s="225"/>
      <c r="DQ9" s="224"/>
      <c r="DR9" s="222"/>
      <c r="DS9" s="225"/>
      <c r="DW9" s="224"/>
      <c r="DX9" s="222"/>
      <c r="DY9" s="225"/>
    </row>
    <row r="10" spans="1:131" ht="15" customHeight="1" x14ac:dyDescent="0.2">
      <c r="A10" s="228"/>
      <c r="B10" s="622" t="s">
        <v>478</v>
      </c>
      <c r="C10" s="622"/>
      <c r="D10" s="622"/>
      <c r="E10" s="622"/>
      <c r="F10" s="213"/>
      <c r="G10" s="622" t="s">
        <v>479</v>
      </c>
      <c r="H10" s="622"/>
      <c r="I10" s="622"/>
      <c r="J10" s="622"/>
      <c r="K10" s="213"/>
      <c r="L10" s="622" t="s">
        <v>480</v>
      </c>
      <c r="M10" s="622"/>
      <c r="N10" s="622"/>
      <c r="O10" s="622"/>
      <c r="P10" s="213"/>
      <c r="Q10" s="622" t="s">
        <v>481</v>
      </c>
      <c r="R10" s="622"/>
      <c r="S10" s="622"/>
      <c r="T10" s="622"/>
      <c r="U10" s="214"/>
      <c r="V10" s="210"/>
      <c r="Y10" s="224">
        <v>7</v>
      </c>
      <c r="Z10" s="222" t="s">
        <v>482</v>
      </c>
      <c r="AA10" s="225">
        <v>30.48</v>
      </c>
      <c r="AB10" s="222">
        <f t="shared" si="0"/>
        <v>200000.00000000003</v>
      </c>
      <c r="AE10" s="224">
        <v>7</v>
      </c>
      <c r="AF10" s="222" t="s">
        <v>483</v>
      </c>
      <c r="AG10" s="222">
        <v>1728</v>
      </c>
      <c r="AH10" s="222">
        <f t="shared" si="1"/>
        <v>1728</v>
      </c>
      <c r="AK10" s="224">
        <v>7</v>
      </c>
      <c r="AL10" s="222" t="s">
        <v>484</v>
      </c>
      <c r="AM10" s="222">
        <v>453.5924</v>
      </c>
      <c r="AN10" s="222">
        <f t="shared" si="2"/>
        <v>453.5924</v>
      </c>
      <c r="AQ10" s="224">
        <v>7</v>
      </c>
      <c r="AR10" s="222" t="s">
        <v>485</v>
      </c>
      <c r="AS10" s="222">
        <v>646316.9</v>
      </c>
      <c r="AT10" s="222">
        <f t="shared" si="3"/>
        <v>646316.9</v>
      </c>
      <c r="AW10" s="224">
        <v>7</v>
      </c>
      <c r="AX10" s="222" t="s">
        <v>486</v>
      </c>
      <c r="AY10" s="225">
        <v>6.8045960000000003E-2</v>
      </c>
      <c r="AZ10" s="222">
        <f t="shared" si="4"/>
        <v>0.96784102171392417</v>
      </c>
      <c r="BC10" s="224">
        <v>7</v>
      </c>
      <c r="BD10" s="222" t="s">
        <v>487</v>
      </c>
      <c r="BE10" s="225">
        <v>178.23</v>
      </c>
      <c r="BF10" s="222">
        <f t="shared" si="5"/>
        <v>239.01035792012311</v>
      </c>
      <c r="BI10" s="224">
        <v>7</v>
      </c>
      <c r="BJ10" s="222" t="s">
        <v>488</v>
      </c>
      <c r="BK10" s="225">
        <v>1055.056</v>
      </c>
      <c r="BL10" s="222">
        <f t="shared" si="6"/>
        <v>1055.056</v>
      </c>
      <c r="BO10" s="224">
        <v>7</v>
      </c>
      <c r="BP10" s="222" t="s">
        <v>489</v>
      </c>
      <c r="BQ10" s="225">
        <v>1000</v>
      </c>
      <c r="BR10" s="222">
        <f t="shared" si="7"/>
        <v>1016043.3240873392</v>
      </c>
      <c r="BU10" s="224">
        <v>7</v>
      </c>
      <c r="BV10" s="222" t="s">
        <v>490</v>
      </c>
      <c r="BW10" s="225">
        <v>9.2903040000000006E-2</v>
      </c>
      <c r="BX10" s="222">
        <f t="shared" si="8"/>
        <v>1</v>
      </c>
      <c r="CA10" s="224">
        <v>7</v>
      </c>
      <c r="CB10" s="222" t="s">
        <v>491</v>
      </c>
      <c r="CC10" s="225">
        <v>1</v>
      </c>
      <c r="CD10" s="222">
        <f t="shared" si="9"/>
        <v>1</v>
      </c>
      <c r="CF10" s="215"/>
      <c r="CG10" s="224">
        <v>7</v>
      </c>
      <c r="CH10" s="222" t="s">
        <v>492</v>
      </c>
      <c r="CI10" s="225">
        <v>1.4503779999999999E-7</v>
      </c>
      <c r="CJ10" s="222">
        <f t="shared" si="10"/>
        <v>1.4503779999999999E-7</v>
      </c>
      <c r="CM10" s="224">
        <v>7</v>
      </c>
      <c r="CN10" s="222" t="s">
        <v>493</v>
      </c>
      <c r="CO10" s="225">
        <v>1</v>
      </c>
      <c r="CP10" s="222">
        <f t="shared" si="11"/>
        <v>0.01</v>
      </c>
      <c r="CS10" s="224">
        <v>7</v>
      </c>
      <c r="CT10" s="222" t="s">
        <v>494</v>
      </c>
      <c r="CU10" s="225">
        <v>0.45359240000000001</v>
      </c>
      <c r="CV10" s="222">
        <f t="shared" si="12"/>
        <v>1</v>
      </c>
      <c r="CY10" s="224"/>
      <c r="CZ10" s="222"/>
      <c r="DA10" s="225"/>
      <c r="DE10" s="224"/>
      <c r="DF10" s="222"/>
      <c r="DG10" s="225"/>
      <c r="DK10" s="224"/>
      <c r="DL10" s="222"/>
      <c r="DM10" s="225"/>
      <c r="DQ10" s="224"/>
      <c r="DR10" s="222"/>
      <c r="DS10" s="225"/>
      <c r="DW10" s="224"/>
      <c r="DX10" s="222"/>
      <c r="DY10" s="225"/>
    </row>
    <row r="11" spans="1:131" ht="15" customHeight="1" x14ac:dyDescent="0.2">
      <c r="A11" s="229"/>
      <c r="B11" s="217"/>
      <c r="C11" s="217"/>
      <c r="D11" s="218">
        <v>5</v>
      </c>
      <c r="E11" s="219">
        <v>1</v>
      </c>
      <c r="F11" s="220"/>
      <c r="G11" s="217"/>
      <c r="H11" s="217"/>
      <c r="I11" s="218">
        <v>1</v>
      </c>
      <c r="J11" s="219">
        <v>1</v>
      </c>
      <c r="K11" s="220"/>
      <c r="L11" s="217"/>
      <c r="M11" s="217"/>
      <c r="N11" s="218">
        <v>7</v>
      </c>
      <c r="O11" s="219">
        <v>1</v>
      </c>
      <c r="P11" s="220"/>
      <c r="Q11" s="217"/>
      <c r="R11" s="217"/>
      <c r="S11" s="218">
        <v>4</v>
      </c>
      <c r="T11" s="219">
        <v>1</v>
      </c>
      <c r="U11" s="214"/>
      <c r="V11" s="210"/>
      <c r="Y11" s="224">
        <v>8</v>
      </c>
      <c r="Z11" s="222" t="s">
        <v>495</v>
      </c>
      <c r="AA11" s="225">
        <v>304.8</v>
      </c>
      <c r="AB11" s="222">
        <f t="shared" si="0"/>
        <v>2000000.0000000002</v>
      </c>
      <c r="AE11" s="224">
        <v>8</v>
      </c>
      <c r="AF11" s="222" t="s">
        <v>496</v>
      </c>
      <c r="AG11" s="225">
        <v>2.8316850000000001E-2</v>
      </c>
      <c r="AH11" s="222">
        <f t="shared" si="1"/>
        <v>2.8316850000000001E-2</v>
      </c>
      <c r="AK11" s="224">
        <v>8</v>
      </c>
      <c r="AL11" s="222" t="s">
        <v>497</v>
      </c>
      <c r="AM11" s="225">
        <v>10886.22</v>
      </c>
      <c r="AN11" s="222">
        <f t="shared" si="2"/>
        <v>10886.22</v>
      </c>
      <c r="AQ11" s="224">
        <v>8</v>
      </c>
      <c r="AR11" s="222" t="s">
        <v>498</v>
      </c>
      <c r="AS11" s="225">
        <v>2.8316850000000001E-2</v>
      </c>
      <c r="AT11" s="222">
        <f t="shared" si="3"/>
        <v>2.8316850000000001E-2</v>
      </c>
      <c r="AW11" s="224">
        <v>8</v>
      </c>
      <c r="AX11" s="222" t="s">
        <v>499</v>
      </c>
      <c r="AY11" s="225">
        <v>6.894757E-2</v>
      </c>
      <c r="AZ11" s="222">
        <f t="shared" si="4"/>
        <v>0.98066492990167686</v>
      </c>
      <c r="BC11" s="224">
        <v>8</v>
      </c>
      <c r="BD11" s="222" t="s">
        <v>500</v>
      </c>
      <c r="BE11" s="222">
        <v>10693.8</v>
      </c>
      <c r="BF11" s="222">
        <f t="shared" si="5"/>
        <v>14340.621475207387</v>
      </c>
      <c r="BI11" s="224">
        <v>8</v>
      </c>
      <c r="BJ11" s="222" t="s">
        <v>501</v>
      </c>
      <c r="BK11" s="222">
        <v>1055.056</v>
      </c>
      <c r="BL11" s="222">
        <f t="shared" si="6"/>
        <v>1055.056</v>
      </c>
      <c r="BO11" s="224">
        <v>8</v>
      </c>
      <c r="BP11" s="222" t="s">
        <v>502</v>
      </c>
      <c r="BQ11" s="222">
        <v>1000000</v>
      </c>
      <c r="BR11" s="222">
        <f t="shared" si="7"/>
        <v>1016043324.0873392</v>
      </c>
      <c r="BU11" s="224">
        <v>8</v>
      </c>
      <c r="BV11" s="222" t="s">
        <v>503</v>
      </c>
      <c r="BW11" s="225">
        <v>9.2903039999999994E-8</v>
      </c>
      <c r="BX11" s="222">
        <f t="shared" si="8"/>
        <v>9.9999999999999995E-7</v>
      </c>
      <c r="CA11" s="224">
        <v>8</v>
      </c>
      <c r="CB11" s="222" t="s">
        <v>504</v>
      </c>
      <c r="CC11" s="225">
        <v>0.13368060000000001</v>
      </c>
      <c r="CD11" s="222">
        <f t="shared" si="9"/>
        <v>0.13368060000000001</v>
      </c>
      <c r="CF11" s="215"/>
      <c r="CG11" s="224">
        <v>8</v>
      </c>
      <c r="CH11" s="222" t="s">
        <v>505</v>
      </c>
      <c r="CI11" s="222">
        <v>1</v>
      </c>
      <c r="CJ11" s="222">
        <f t="shared" si="10"/>
        <v>1</v>
      </c>
      <c r="CM11" s="224"/>
      <c r="CN11" s="222"/>
      <c r="CO11" s="222"/>
      <c r="CS11" s="224">
        <v>8</v>
      </c>
      <c r="CT11" s="222" t="s">
        <v>506</v>
      </c>
      <c r="CU11" s="222">
        <v>10.8862176</v>
      </c>
      <c r="CV11" s="222">
        <f t="shared" si="12"/>
        <v>24.000000000000004</v>
      </c>
      <c r="CY11" s="224"/>
      <c r="CZ11" s="222"/>
      <c r="DA11" s="222"/>
      <c r="DE11" s="224"/>
      <c r="DF11" s="222"/>
      <c r="DG11" s="222"/>
      <c r="DK11" s="224"/>
      <c r="DL11" s="222"/>
      <c r="DM11" s="222"/>
      <c r="DQ11" s="224"/>
      <c r="DR11" s="222"/>
      <c r="DS11" s="222"/>
      <c r="DW11" s="224"/>
      <c r="DX11" s="222"/>
      <c r="DY11" s="222"/>
    </row>
    <row r="12" spans="1:131" ht="15" customHeight="1" x14ac:dyDescent="0.2">
      <c r="A12" s="229"/>
      <c r="B12" s="217"/>
      <c r="C12" s="217"/>
      <c r="D12" s="218">
        <v>3</v>
      </c>
      <c r="E12" s="223">
        <f>VLOOKUP(D12,AK4:AN11,4,FALSE)</f>
        <v>0.37866749999999999</v>
      </c>
      <c r="F12" s="220"/>
      <c r="G12" s="217"/>
      <c r="H12" s="217"/>
      <c r="I12" s="218">
        <v>4</v>
      </c>
      <c r="J12" s="223">
        <f>VLOOKUP(I12,BO4:BR14,4,FALSE)</f>
        <v>2239.9691122829481</v>
      </c>
      <c r="K12" s="220"/>
      <c r="L12" s="217"/>
      <c r="M12" s="217"/>
      <c r="N12" s="218">
        <v>6</v>
      </c>
      <c r="O12" s="223">
        <f>VLOOKUP(N12,CS4:CV14,4,FALSE)</f>
        <v>1.6666665931792508E-2</v>
      </c>
      <c r="P12" s="220"/>
      <c r="Q12" s="217"/>
      <c r="R12" s="217"/>
      <c r="S12" s="218">
        <v>5</v>
      </c>
      <c r="T12" s="223">
        <f>VLOOKUP(S12,DW4:DZ8,4,FALSE)</f>
        <v>4.1867999999999999</v>
      </c>
      <c r="U12" s="214"/>
      <c r="V12" s="210"/>
      <c r="Y12" s="224">
        <v>9</v>
      </c>
      <c r="Z12" s="222" t="s">
        <v>507</v>
      </c>
      <c r="AA12" s="225">
        <v>304800</v>
      </c>
      <c r="AB12" s="222">
        <f t="shared" si="0"/>
        <v>2000000000.0000002</v>
      </c>
      <c r="AE12" s="224">
        <v>9</v>
      </c>
      <c r="AF12" s="222" t="s">
        <v>508</v>
      </c>
      <c r="AG12" s="222">
        <v>28.316849999999999</v>
      </c>
      <c r="AH12" s="222">
        <f t="shared" si="1"/>
        <v>28.316849999999999</v>
      </c>
      <c r="AI12" s="224"/>
      <c r="AK12" s="224"/>
      <c r="AL12" s="222"/>
      <c r="AM12" s="222"/>
      <c r="AO12" s="224"/>
      <c r="AQ12" s="224">
        <v>9</v>
      </c>
      <c r="AR12" s="222" t="s">
        <v>509</v>
      </c>
      <c r="AS12" s="222">
        <v>1.699011</v>
      </c>
      <c r="AT12" s="222">
        <f t="shared" si="3"/>
        <v>1.699011</v>
      </c>
      <c r="AU12" s="224"/>
      <c r="AW12" s="224">
        <v>9</v>
      </c>
      <c r="AX12" s="222" t="s">
        <v>510</v>
      </c>
      <c r="AY12" s="225">
        <v>68.947569999999999</v>
      </c>
      <c r="AZ12" s="222">
        <f t="shared" si="4"/>
        <v>980.66492990167683</v>
      </c>
      <c r="BA12" s="224"/>
      <c r="BC12" s="224">
        <v>9</v>
      </c>
      <c r="BD12" s="222" t="s">
        <v>511</v>
      </c>
      <c r="BE12" s="225">
        <v>745.69989999999996</v>
      </c>
      <c r="BF12" s="222">
        <f t="shared" si="5"/>
        <v>1000</v>
      </c>
      <c r="BG12" s="224"/>
      <c r="BI12" s="224">
        <v>9</v>
      </c>
      <c r="BJ12" s="222" t="s">
        <v>512</v>
      </c>
      <c r="BK12" s="225">
        <v>5.4039000000000001</v>
      </c>
      <c r="BL12" s="222">
        <f t="shared" si="6"/>
        <v>5.4039000000000001</v>
      </c>
      <c r="BM12" s="224"/>
      <c r="BO12" s="224">
        <v>9</v>
      </c>
      <c r="BP12" s="222" t="s">
        <v>513</v>
      </c>
      <c r="BQ12" s="225">
        <v>15432</v>
      </c>
      <c r="BR12" s="222">
        <f t="shared" si="7"/>
        <v>15679580.577315819</v>
      </c>
      <c r="BS12" s="224"/>
      <c r="BU12" s="224">
        <v>9</v>
      </c>
      <c r="BV12" s="222" t="s">
        <v>514</v>
      </c>
      <c r="BW12" s="225">
        <v>9.2903040000000008E-6</v>
      </c>
      <c r="BX12" s="222">
        <f t="shared" si="8"/>
        <v>1E-4</v>
      </c>
      <c r="BY12" s="224"/>
      <c r="CA12" s="224">
        <v>9</v>
      </c>
      <c r="CB12" s="222" t="s">
        <v>515</v>
      </c>
      <c r="CC12" s="225">
        <v>5.6145839999999998</v>
      </c>
      <c r="CD12" s="222">
        <f t="shared" si="9"/>
        <v>5.6145839999999998</v>
      </c>
      <c r="CE12" s="224"/>
      <c r="CF12" s="215"/>
      <c r="CG12" s="224">
        <v>9</v>
      </c>
      <c r="CH12" s="222" t="s">
        <v>516</v>
      </c>
      <c r="CI12" s="222">
        <v>3.6</v>
      </c>
      <c r="CJ12" s="222">
        <f t="shared" si="10"/>
        <v>3.6</v>
      </c>
      <c r="CK12" s="224"/>
      <c r="CM12" s="224"/>
      <c r="CN12" s="222"/>
      <c r="CO12" s="222"/>
      <c r="CQ12" s="224"/>
      <c r="CS12" s="224">
        <v>9</v>
      </c>
      <c r="CT12" s="222" t="s">
        <v>517</v>
      </c>
      <c r="CU12" s="222">
        <f>24*0.0004464286</f>
        <v>1.07142864E-2</v>
      </c>
      <c r="CV12" s="222">
        <f t="shared" si="12"/>
        <v>2.3620956612147824E-2</v>
      </c>
      <c r="CW12" s="224"/>
      <c r="CY12" s="224"/>
      <c r="CZ12" s="222"/>
      <c r="DA12" s="222"/>
      <c r="DC12" s="224"/>
      <c r="DE12" s="224"/>
      <c r="DF12" s="222"/>
      <c r="DG12" s="222"/>
      <c r="DI12" s="224"/>
      <c r="DK12" s="224"/>
      <c r="DL12" s="222"/>
      <c r="DM12" s="222"/>
      <c r="DO12" s="224"/>
      <c r="DQ12" s="224"/>
      <c r="DR12" s="222"/>
      <c r="DS12" s="222"/>
      <c r="DU12" s="224"/>
      <c r="DW12" s="224"/>
      <c r="DX12" s="222"/>
      <c r="DY12" s="222"/>
      <c r="EA12" s="224"/>
    </row>
    <row r="13" spans="1:131" ht="15" customHeight="1" x14ac:dyDescent="0.2">
      <c r="A13" s="226"/>
      <c r="B13" s="208"/>
      <c r="C13" s="208"/>
      <c r="D13" s="208"/>
      <c r="E13" s="227"/>
      <c r="F13" s="208"/>
      <c r="G13" s="208"/>
      <c r="H13" s="208"/>
      <c r="I13" s="208"/>
      <c r="J13" s="227"/>
      <c r="K13" s="208"/>
      <c r="L13" s="208"/>
      <c r="M13" s="208"/>
      <c r="N13" s="208"/>
      <c r="O13" s="227"/>
      <c r="P13" s="208"/>
      <c r="Q13" s="208"/>
      <c r="R13" s="208"/>
      <c r="S13" s="208"/>
      <c r="T13" s="227"/>
      <c r="U13" s="209"/>
      <c r="AE13" s="224">
        <v>10</v>
      </c>
      <c r="AF13" s="222" t="s">
        <v>518</v>
      </c>
      <c r="AG13" s="222">
        <v>28316.85</v>
      </c>
      <c r="AH13" s="222">
        <f t="shared" si="1"/>
        <v>28316.85</v>
      </c>
      <c r="AK13" s="224"/>
      <c r="AL13" s="222"/>
      <c r="AM13" s="222"/>
      <c r="AQ13" s="224">
        <v>10</v>
      </c>
      <c r="AR13" s="222" t="s">
        <v>519</v>
      </c>
      <c r="AS13" s="222">
        <v>101.94070000000001</v>
      </c>
      <c r="AT13" s="222">
        <f t="shared" si="3"/>
        <v>101.94070000000001</v>
      </c>
      <c r="AW13" s="224">
        <v>10</v>
      </c>
      <c r="AX13" s="222" t="s">
        <v>520</v>
      </c>
      <c r="AY13" s="225">
        <v>7.0306960000000002E-2</v>
      </c>
      <c r="AZ13" s="222">
        <f t="shared" si="4"/>
        <v>1</v>
      </c>
      <c r="BC13" s="224">
        <v>10</v>
      </c>
      <c r="BD13" s="222" t="s">
        <v>521</v>
      </c>
      <c r="BE13" s="225">
        <v>745.7</v>
      </c>
      <c r="BF13" s="222">
        <f t="shared" si="5"/>
        <v>1000.000134102204</v>
      </c>
      <c r="BI13" s="224">
        <v>10</v>
      </c>
      <c r="BJ13" s="222" t="s">
        <v>522</v>
      </c>
      <c r="BK13" s="225">
        <v>10.412000000000001</v>
      </c>
      <c r="BL13" s="222">
        <f t="shared" si="6"/>
        <v>10.412000000000001</v>
      </c>
      <c r="BO13" s="224">
        <v>10</v>
      </c>
      <c r="BP13" s="222" t="s">
        <v>523</v>
      </c>
      <c r="BQ13" s="225">
        <v>5000</v>
      </c>
      <c r="BR13" s="222">
        <f t="shared" si="7"/>
        <v>5080216.6204366963</v>
      </c>
      <c r="BU13" s="224">
        <v>10</v>
      </c>
      <c r="BV13" s="222" t="s">
        <v>524</v>
      </c>
      <c r="BW13" s="225">
        <v>9.2903039999999999E-4</v>
      </c>
      <c r="BX13" s="222">
        <f t="shared" si="8"/>
        <v>0.01</v>
      </c>
      <c r="CA13" s="224">
        <v>10</v>
      </c>
      <c r="CB13" s="222" t="s">
        <v>525</v>
      </c>
      <c r="CC13" s="225">
        <v>9.2592590000000006E-3</v>
      </c>
      <c r="CD13" s="222">
        <f t="shared" si="9"/>
        <v>9.2592590000000006E-3</v>
      </c>
      <c r="CF13" s="215"/>
      <c r="CS13" s="224">
        <v>10</v>
      </c>
      <c r="CT13" s="222" t="s">
        <v>526</v>
      </c>
      <c r="CU13" s="222">
        <f>24*0.0005</f>
        <v>1.2E-2</v>
      </c>
      <c r="CV13" s="222">
        <f t="shared" si="12"/>
        <v>2.6455469712455503E-2</v>
      </c>
      <c r="CY13" s="224"/>
      <c r="CZ13" s="222"/>
      <c r="DA13" s="222"/>
      <c r="DE13" s="224"/>
      <c r="DF13" s="222"/>
      <c r="DG13" s="222"/>
      <c r="DK13" s="224"/>
      <c r="DL13" s="222"/>
      <c r="DM13" s="222"/>
      <c r="DQ13" s="224"/>
      <c r="DR13" s="222"/>
      <c r="DS13" s="222"/>
      <c r="DW13" s="224"/>
      <c r="DX13" s="222"/>
      <c r="DY13" s="222"/>
    </row>
    <row r="14" spans="1:131" ht="15" customHeight="1" x14ac:dyDescent="0.2">
      <c r="A14" s="228"/>
      <c r="B14" s="622" t="s">
        <v>527</v>
      </c>
      <c r="C14" s="622"/>
      <c r="D14" s="622"/>
      <c r="E14" s="622"/>
      <c r="F14" s="213"/>
      <c r="G14" s="622" t="s">
        <v>528</v>
      </c>
      <c r="H14" s="622"/>
      <c r="I14" s="622"/>
      <c r="J14" s="622"/>
      <c r="K14" s="213"/>
      <c r="L14" s="622" t="s">
        <v>529</v>
      </c>
      <c r="M14" s="622"/>
      <c r="N14" s="622"/>
      <c r="O14" s="622"/>
      <c r="P14" s="230"/>
      <c r="Q14" s="623"/>
      <c r="R14" s="623"/>
      <c r="S14" s="623"/>
      <c r="T14" s="623"/>
      <c r="U14" s="214"/>
      <c r="V14" s="210"/>
      <c r="AE14" s="224">
        <v>11</v>
      </c>
      <c r="AF14" s="222" t="s">
        <v>530</v>
      </c>
      <c r="AG14" s="225">
        <v>28316.85</v>
      </c>
      <c r="AH14" s="222">
        <f t="shared" si="1"/>
        <v>28316.85</v>
      </c>
      <c r="AK14" s="224"/>
      <c r="AL14" s="222"/>
      <c r="AM14" s="225"/>
      <c r="AQ14" s="224">
        <v>11</v>
      </c>
      <c r="AR14" s="222" t="s">
        <v>531</v>
      </c>
      <c r="AS14" s="225">
        <v>28.316849999999999</v>
      </c>
      <c r="AT14" s="222">
        <f t="shared" si="3"/>
        <v>28.316849999999999</v>
      </c>
      <c r="AW14" s="224">
        <v>11</v>
      </c>
      <c r="AX14" s="222" t="s">
        <v>532</v>
      </c>
      <c r="AY14" s="225">
        <v>6.8947570000000002</v>
      </c>
      <c r="AZ14" s="222">
        <f t="shared" si="4"/>
        <v>98.066492990167689</v>
      </c>
      <c r="BC14" s="224">
        <v>11</v>
      </c>
      <c r="BD14" s="222" t="s">
        <v>533</v>
      </c>
      <c r="BE14" s="225">
        <v>550</v>
      </c>
      <c r="BF14" s="222">
        <f t="shared" si="5"/>
        <v>737.5621211696556</v>
      </c>
      <c r="BI14" s="224"/>
      <c r="BJ14" s="222"/>
      <c r="BK14" s="225"/>
      <c r="BO14" s="224">
        <v>11</v>
      </c>
      <c r="BP14" s="222" t="s">
        <v>534</v>
      </c>
      <c r="BQ14" s="225">
        <v>6.8521799999999994E-2</v>
      </c>
      <c r="BR14" s="222">
        <f t="shared" si="7"/>
        <v>69.621117444447833</v>
      </c>
      <c r="BU14" s="224">
        <v>11</v>
      </c>
      <c r="BV14" s="222" t="s">
        <v>535</v>
      </c>
      <c r="BW14" s="225">
        <v>2.295684E-5</v>
      </c>
      <c r="BX14" s="222">
        <f t="shared" si="8"/>
        <v>2.4710536921073838E-4</v>
      </c>
      <c r="CA14" s="224">
        <v>11</v>
      </c>
      <c r="CB14" s="222" t="s">
        <v>536</v>
      </c>
      <c r="CC14" s="225">
        <v>2.1388889999999998</v>
      </c>
      <c r="CD14" s="222">
        <f t="shared" si="9"/>
        <v>2.1388889999999998</v>
      </c>
      <c r="CF14" s="215"/>
      <c r="CG14" s="224"/>
      <c r="CH14" s="222"/>
      <c r="CI14" s="225"/>
      <c r="CM14" s="224"/>
      <c r="CN14" s="222"/>
      <c r="CO14" s="225"/>
      <c r="CS14" s="224">
        <v>11</v>
      </c>
      <c r="CT14" s="222" t="s">
        <v>537</v>
      </c>
      <c r="CU14" s="225">
        <f>24*0.0004535924</f>
        <v>1.0886217599999999E-2</v>
      </c>
      <c r="CV14" s="222">
        <f t="shared" si="12"/>
        <v>2.4E-2</v>
      </c>
      <c r="CY14" s="224"/>
      <c r="CZ14" s="222"/>
      <c r="DA14" s="225"/>
      <c r="DE14" s="224"/>
      <c r="DF14" s="222"/>
      <c r="DG14" s="225"/>
      <c r="DK14" s="224"/>
      <c r="DL14" s="222"/>
      <c r="DM14" s="225"/>
      <c r="DQ14" s="224"/>
      <c r="DR14" s="222"/>
      <c r="DS14" s="225"/>
      <c r="DW14" s="224"/>
      <c r="DX14" s="222"/>
      <c r="DY14" s="225"/>
    </row>
    <row r="15" spans="1:131" ht="15" customHeight="1" x14ac:dyDescent="0.2">
      <c r="A15" s="229"/>
      <c r="B15" s="217"/>
      <c r="C15" s="217"/>
      <c r="D15" s="218">
        <v>1</v>
      </c>
      <c r="E15" s="219">
        <v>1</v>
      </c>
      <c r="F15" s="220"/>
      <c r="G15" s="217"/>
      <c r="H15" s="217"/>
      <c r="I15" s="218">
        <v>7</v>
      </c>
      <c r="J15" s="219">
        <v>1</v>
      </c>
      <c r="K15" s="220"/>
      <c r="L15" s="217"/>
      <c r="M15" s="217"/>
      <c r="N15" s="218">
        <v>1</v>
      </c>
      <c r="O15" s="219">
        <v>1</v>
      </c>
      <c r="P15" s="220"/>
      <c r="Q15" s="623"/>
      <c r="R15" s="623"/>
      <c r="S15" s="623"/>
      <c r="T15" s="623"/>
      <c r="U15" s="214"/>
      <c r="V15" s="210"/>
      <c r="AE15" s="224"/>
      <c r="AF15" s="222"/>
      <c r="AG15" s="225"/>
      <c r="AK15" s="224"/>
      <c r="AL15" s="222"/>
      <c r="AM15" s="225"/>
      <c r="AQ15" s="224">
        <v>12</v>
      </c>
      <c r="AR15" s="222" t="s">
        <v>538</v>
      </c>
      <c r="AS15" s="225">
        <v>1699.011</v>
      </c>
      <c r="AT15" s="222">
        <f t="shared" si="3"/>
        <v>1699.011</v>
      </c>
      <c r="AW15" s="224">
        <v>12</v>
      </c>
      <c r="AX15" s="222" t="s">
        <v>539</v>
      </c>
      <c r="AY15" s="225">
        <v>6894.7569999999996</v>
      </c>
      <c r="AZ15" s="222">
        <f t="shared" si="4"/>
        <v>98066.492990167681</v>
      </c>
      <c r="BC15" s="224">
        <v>12</v>
      </c>
      <c r="BD15" s="222" t="s">
        <v>540</v>
      </c>
      <c r="BE15" s="225">
        <v>33000</v>
      </c>
      <c r="BF15" s="222">
        <f t="shared" si="5"/>
        <v>44253.727270179334</v>
      </c>
      <c r="BI15" s="224"/>
      <c r="BJ15" s="222"/>
      <c r="BK15" s="225"/>
      <c r="BO15" s="224"/>
      <c r="BP15" s="222"/>
      <c r="BQ15" s="225"/>
      <c r="BU15" s="224"/>
      <c r="BV15" s="222"/>
      <c r="BW15" s="225"/>
      <c r="CA15" s="224">
        <v>12</v>
      </c>
      <c r="CB15" s="222" t="s">
        <v>541</v>
      </c>
      <c r="CC15" s="225">
        <v>1.6018460000000002E-2</v>
      </c>
      <c r="CD15" s="222">
        <f t="shared" si="9"/>
        <v>1.6018460000000002E-2</v>
      </c>
      <c r="CF15" s="215"/>
      <c r="CG15" s="224"/>
      <c r="CH15" s="222"/>
      <c r="CI15" s="222"/>
      <c r="CM15" s="224"/>
      <c r="CN15" s="222"/>
      <c r="CO15" s="222"/>
      <c r="CS15" s="224"/>
      <c r="CT15" s="222"/>
      <c r="CU15" s="222"/>
      <c r="CY15" s="224"/>
      <c r="CZ15" s="222"/>
      <c r="DA15" s="222"/>
      <c r="DE15" s="224"/>
      <c r="DF15" s="222"/>
      <c r="DG15" s="222"/>
      <c r="DK15" s="224"/>
      <c r="DL15" s="222"/>
      <c r="DM15" s="222"/>
      <c r="DQ15" s="224"/>
      <c r="DR15" s="222"/>
      <c r="DS15" s="222"/>
      <c r="DW15" s="224"/>
      <c r="DX15" s="222"/>
      <c r="DY15" s="222"/>
    </row>
    <row r="16" spans="1:131" ht="15" customHeight="1" x14ac:dyDescent="0.2">
      <c r="A16" s="229"/>
      <c r="B16" s="217"/>
      <c r="C16" s="217"/>
      <c r="D16" s="218">
        <v>2</v>
      </c>
      <c r="E16" s="223">
        <f>VLOOKUP(D16,AQ4:AT17,4,FALSE)</f>
        <v>60</v>
      </c>
      <c r="F16" s="220"/>
      <c r="G16" s="217"/>
      <c r="H16" s="217"/>
      <c r="I16" s="218">
        <v>12</v>
      </c>
      <c r="J16" s="223">
        <f>VLOOKUP(I16,CA4:CD15,4,FALSE)</f>
        <v>1.6018460000000002E-2</v>
      </c>
      <c r="K16" s="220"/>
      <c r="L16" s="217"/>
      <c r="M16" s="217"/>
      <c r="N16" s="218">
        <v>3</v>
      </c>
      <c r="O16" s="223">
        <f>VLOOKUP(N16,CY4:DB8,4,FALSE)</f>
        <v>5.6782640000000004E-4</v>
      </c>
      <c r="P16" s="220"/>
      <c r="Q16" s="623"/>
      <c r="R16" s="623"/>
      <c r="S16" s="623"/>
      <c r="T16" s="623"/>
      <c r="U16" s="214"/>
      <c r="V16" s="210"/>
      <c r="Y16" s="211"/>
      <c r="AB16" s="211"/>
      <c r="AC16" s="211"/>
      <c r="AE16" s="224"/>
      <c r="AF16" s="222"/>
      <c r="AG16" s="225"/>
      <c r="AK16" s="224"/>
      <c r="AL16" s="222"/>
      <c r="AM16" s="225"/>
      <c r="AQ16" s="224">
        <v>13</v>
      </c>
      <c r="AR16" s="222" t="s">
        <v>542</v>
      </c>
      <c r="AS16" s="225">
        <v>101940.7</v>
      </c>
      <c r="AT16" s="222">
        <f t="shared" si="3"/>
        <v>101940.7</v>
      </c>
      <c r="AW16" s="211"/>
      <c r="AZ16" s="211"/>
      <c r="BC16" s="211"/>
      <c r="BF16" s="211"/>
      <c r="BI16" s="211"/>
      <c r="BL16" s="211"/>
      <c r="BO16" s="211"/>
      <c r="BR16" s="211"/>
      <c r="BU16" s="211"/>
      <c r="BX16" s="211"/>
      <c r="CA16" s="211"/>
      <c r="CB16" s="222"/>
      <c r="CD16" s="211"/>
      <c r="CF16" s="215"/>
      <c r="CG16" s="224"/>
      <c r="CH16" s="222"/>
      <c r="CI16" s="222"/>
      <c r="CM16" s="224"/>
      <c r="CN16" s="222"/>
      <c r="CO16" s="222"/>
      <c r="CS16" s="224"/>
      <c r="CT16" s="222"/>
      <c r="CU16" s="222"/>
      <c r="CY16" s="224"/>
      <c r="CZ16" s="222"/>
      <c r="DA16" s="222"/>
      <c r="DE16" s="224"/>
      <c r="DF16" s="222"/>
      <c r="DG16" s="222"/>
      <c r="DK16" s="224"/>
      <c r="DL16" s="222"/>
      <c r="DM16" s="222"/>
      <c r="DQ16" s="224"/>
      <c r="DR16" s="222"/>
      <c r="DS16" s="222"/>
      <c r="DW16" s="224"/>
      <c r="DX16" s="222"/>
      <c r="DY16" s="222"/>
    </row>
    <row r="17" spans="1:129" ht="15" customHeight="1" x14ac:dyDescent="0.2">
      <c r="A17" s="226"/>
      <c r="B17" s="208"/>
      <c r="C17" s="208"/>
      <c r="D17" s="208"/>
      <c r="E17" s="227"/>
      <c r="F17" s="208"/>
      <c r="G17" s="208"/>
      <c r="H17" s="208"/>
      <c r="I17" s="208"/>
      <c r="J17" s="227"/>
      <c r="K17" s="208"/>
      <c r="L17" s="208"/>
      <c r="M17" s="208"/>
      <c r="N17" s="208"/>
      <c r="O17" s="227"/>
      <c r="P17" s="208"/>
      <c r="Q17" s="623"/>
      <c r="R17" s="623"/>
      <c r="S17" s="623"/>
      <c r="T17" s="623"/>
      <c r="U17" s="209"/>
      <c r="Y17" s="211"/>
      <c r="AB17" s="211"/>
      <c r="AC17" s="211"/>
      <c r="AE17" s="224"/>
      <c r="AF17" s="222"/>
      <c r="AG17" s="222"/>
      <c r="AK17" s="224"/>
      <c r="AL17" s="222"/>
      <c r="AM17" s="222"/>
      <c r="AQ17" s="224">
        <v>14</v>
      </c>
      <c r="AR17" s="222" t="s">
        <v>543</v>
      </c>
      <c r="AS17" s="222">
        <v>2446576.7999999998</v>
      </c>
      <c r="AT17" s="222">
        <f t="shared" si="3"/>
        <v>2446576.7999999998</v>
      </c>
      <c r="AW17" s="224"/>
      <c r="BC17" s="224"/>
      <c r="BI17" s="224"/>
      <c r="BO17" s="224"/>
      <c r="BU17" s="224"/>
      <c r="CA17" s="224"/>
      <c r="CB17" s="222"/>
      <c r="CF17" s="215"/>
      <c r="CG17" s="224"/>
      <c r="CH17" s="222"/>
      <c r="CI17" s="222"/>
      <c r="CM17" s="224"/>
      <c r="CN17" s="222"/>
      <c r="CO17" s="222"/>
      <c r="CS17" s="224"/>
      <c r="CT17" s="222"/>
      <c r="CU17" s="222"/>
      <c r="CY17" s="224"/>
      <c r="CZ17" s="222"/>
      <c r="DA17" s="222"/>
      <c r="DE17" s="224"/>
      <c r="DF17" s="222"/>
      <c r="DG17" s="222"/>
      <c r="DK17" s="224"/>
      <c r="DL17" s="222"/>
      <c r="DM17" s="222"/>
      <c r="DQ17" s="224"/>
      <c r="DR17" s="222"/>
      <c r="DS17" s="222"/>
      <c r="DW17" s="224"/>
      <c r="DX17" s="222"/>
      <c r="DY17" s="222"/>
    </row>
    <row r="18" spans="1:129" ht="15" customHeight="1" x14ac:dyDescent="0.2">
      <c r="A18" s="228"/>
      <c r="B18" s="622" t="s">
        <v>544</v>
      </c>
      <c r="C18" s="622"/>
      <c r="D18" s="622"/>
      <c r="E18" s="622"/>
      <c r="F18" s="213"/>
      <c r="G18" s="622" t="s">
        <v>545</v>
      </c>
      <c r="H18" s="622"/>
      <c r="I18" s="622"/>
      <c r="J18" s="622"/>
      <c r="K18" s="213"/>
      <c r="L18" s="622" t="s">
        <v>546</v>
      </c>
      <c r="M18" s="622"/>
      <c r="N18" s="622"/>
      <c r="O18" s="622"/>
      <c r="P18" s="230"/>
      <c r="Q18" s="623"/>
      <c r="R18" s="623"/>
      <c r="S18" s="623"/>
      <c r="T18" s="623"/>
      <c r="U18" s="214"/>
      <c r="V18" s="210"/>
      <c r="Y18" s="211"/>
      <c r="AB18" s="211"/>
      <c r="AC18" s="211"/>
      <c r="AE18" s="224"/>
      <c r="AF18" s="222"/>
      <c r="AG18" s="225"/>
      <c r="AK18" s="224"/>
      <c r="AL18" s="222"/>
      <c r="AM18" s="225"/>
      <c r="AQ18" s="224"/>
      <c r="AR18" s="222"/>
      <c r="AS18" s="225"/>
      <c r="AW18" s="224"/>
      <c r="AX18" s="222"/>
      <c r="AY18" s="225"/>
      <c r="BC18" s="224"/>
      <c r="BD18" s="222"/>
      <c r="BE18" s="225"/>
      <c r="BI18" s="224"/>
      <c r="BJ18" s="222"/>
      <c r="BK18" s="225"/>
      <c r="BO18" s="224"/>
      <c r="BP18" s="222"/>
      <c r="BQ18" s="225"/>
      <c r="BU18" s="224"/>
      <c r="BV18" s="222"/>
      <c r="BW18" s="225"/>
      <c r="CA18" s="224"/>
      <c r="CB18" s="222"/>
      <c r="CC18" s="225"/>
      <c r="CG18" s="224"/>
      <c r="CH18" s="222"/>
      <c r="CI18" s="225"/>
      <c r="CM18" s="224"/>
      <c r="CN18" s="222"/>
      <c r="CO18" s="225"/>
      <c r="CS18" s="224"/>
      <c r="CT18" s="222"/>
      <c r="CU18" s="225"/>
      <c r="CY18" s="224"/>
      <c r="CZ18" s="222"/>
      <c r="DA18" s="225"/>
      <c r="DE18" s="224"/>
      <c r="DF18" s="222"/>
      <c r="DG18" s="225"/>
      <c r="DK18" s="224"/>
      <c r="DL18" s="222"/>
      <c r="DM18" s="225"/>
      <c r="DQ18" s="224"/>
      <c r="DR18" s="222"/>
      <c r="DS18" s="225"/>
      <c r="DW18" s="224"/>
      <c r="DX18" s="222"/>
      <c r="DY18" s="225"/>
    </row>
    <row r="19" spans="1:129" ht="15" customHeight="1" x14ac:dyDescent="0.2">
      <c r="A19" s="229"/>
      <c r="B19" s="217"/>
      <c r="C19" s="217"/>
      <c r="D19" s="218">
        <v>10</v>
      </c>
      <c r="E19" s="219">
        <v>1</v>
      </c>
      <c r="F19" s="220"/>
      <c r="G19" s="217"/>
      <c r="H19" s="231"/>
      <c r="I19" s="218">
        <v>7</v>
      </c>
      <c r="J19" s="219">
        <v>1</v>
      </c>
      <c r="K19" s="220"/>
      <c r="L19" s="217"/>
      <c r="M19" s="217"/>
      <c r="N19" s="218">
        <v>1</v>
      </c>
      <c r="O19" s="219">
        <v>1</v>
      </c>
      <c r="P19" s="220"/>
      <c r="Q19" s="232"/>
      <c r="R19" s="208"/>
      <c r="S19" s="208"/>
      <c r="T19" s="208"/>
      <c r="U19" s="214"/>
      <c r="V19" s="210"/>
      <c r="Y19" s="211"/>
      <c r="AB19" s="211"/>
      <c r="AC19" s="211"/>
      <c r="AE19" s="211"/>
      <c r="AI19" s="211"/>
      <c r="AK19" s="211"/>
      <c r="AN19" s="211"/>
      <c r="AO19" s="211"/>
      <c r="AQ19" s="211"/>
      <c r="AT19" s="211"/>
      <c r="AU19" s="211"/>
      <c r="AW19" s="211"/>
      <c r="AZ19" s="211"/>
      <c r="BA19" s="211"/>
      <c r="BC19" s="211"/>
      <c r="BF19" s="211"/>
      <c r="BG19" s="211"/>
      <c r="BI19" s="211"/>
      <c r="BL19" s="211"/>
      <c r="BM19" s="211"/>
      <c r="BO19" s="224"/>
      <c r="BP19" s="222"/>
      <c r="BQ19" s="225"/>
      <c r="BU19" s="224"/>
      <c r="BV19" s="222"/>
      <c r="BW19" s="225"/>
      <c r="CA19" s="224"/>
      <c r="CB19" s="222"/>
      <c r="CC19" s="225"/>
      <c r="CG19" s="224"/>
      <c r="CH19" s="222"/>
      <c r="CI19" s="225"/>
      <c r="CM19" s="224"/>
      <c r="CN19" s="222"/>
      <c r="CO19" s="225"/>
      <c r="CS19" s="224"/>
      <c r="CT19" s="222"/>
      <c r="CU19" s="225"/>
      <c r="CY19" s="224"/>
      <c r="CZ19" s="222"/>
      <c r="DA19" s="225"/>
      <c r="DE19" s="224"/>
      <c r="DF19" s="222"/>
      <c r="DG19" s="225"/>
      <c r="DK19" s="224"/>
      <c r="DL19" s="222"/>
      <c r="DM19" s="225"/>
      <c r="DQ19" s="224"/>
      <c r="DR19" s="222"/>
      <c r="DS19" s="225"/>
      <c r="DW19" s="224"/>
      <c r="DX19" s="222"/>
      <c r="DY19" s="225"/>
    </row>
    <row r="20" spans="1:129" ht="15" customHeight="1" x14ac:dyDescent="0.2">
      <c r="A20" s="229"/>
      <c r="B20" s="217"/>
      <c r="C20" s="217"/>
      <c r="D20" s="218">
        <v>8</v>
      </c>
      <c r="E20" s="223">
        <f>VLOOKUP(D20,AW4:AZ15,4,FALSE)</f>
        <v>0.98066492990167686</v>
      </c>
      <c r="F20" s="220"/>
      <c r="G20" s="217"/>
      <c r="H20" s="217"/>
      <c r="I20" s="218">
        <v>11</v>
      </c>
      <c r="J20" s="223">
        <f>VLOOKUP(I20,BU4:BX14,4,FALSE)</f>
        <v>2.4710536921073838E-4</v>
      </c>
      <c r="K20" s="220"/>
      <c r="L20" s="217"/>
      <c r="M20" s="217"/>
      <c r="N20" s="218">
        <v>3</v>
      </c>
      <c r="O20" s="223">
        <f>VLOOKUP(N20,DE4:DH8,4,FALSE)</f>
        <v>1.7307349999999999E-2</v>
      </c>
      <c r="P20" s="220"/>
      <c r="Q20" s="233"/>
      <c r="U20" s="214"/>
      <c r="V20" s="210"/>
      <c r="Y20" s="211"/>
      <c r="AB20" s="211"/>
      <c r="AC20" s="211"/>
      <c r="AE20" s="211"/>
      <c r="AI20" s="211"/>
      <c r="AK20" s="211"/>
      <c r="AN20" s="211"/>
      <c r="AO20" s="211"/>
      <c r="AQ20" s="211"/>
      <c r="AT20" s="211"/>
      <c r="AU20" s="211"/>
      <c r="AW20" s="211"/>
      <c r="AZ20" s="211"/>
      <c r="BA20" s="211"/>
      <c r="BC20" s="211"/>
      <c r="BF20" s="211"/>
      <c r="BG20" s="211"/>
      <c r="BI20" s="211"/>
      <c r="BL20" s="211"/>
      <c r="BM20" s="211"/>
      <c r="BO20" s="224"/>
      <c r="BP20" s="222"/>
      <c r="BQ20" s="225"/>
      <c r="BU20" s="224"/>
      <c r="BV20" s="222"/>
      <c r="BW20" s="225"/>
      <c r="CA20" s="224"/>
      <c r="CB20" s="222"/>
      <c r="CC20" s="225"/>
      <c r="CG20" s="224"/>
      <c r="CH20" s="222"/>
      <c r="CI20" s="225"/>
      <c r="CM20" s="224"/>
      <c r="CN20" s="222"/>
      <c r="CO20" s="225"/>
      <c r="CS20" s="224"/>
      <c r="CT20" s="222"/>
      <c r="CU20" s="225"/>
      <c r="CY20" s="224"/>
      <c r="CZ20" s="222"/>
      <c r="DA20" s="225"/>
      <c r="DE20" s="224"/>
      <c r="DF20" s="222"/>
      <c r="DG20" s="225"/>
      <c r="DK20" s="224"/>
      <c r="DL20" s="222"/>
      <c r="DM20" s="225"/>
      <c r="DQ20" s="224"/>
      <c r="DR20" s="222"/>
      <c r="DS20" s="225"/>
      <c r="DW20" s="224"/>
      <c r="DX20" s="222"/>
      <c r="DY20" s="225"/>
    </row>
    <row r="21" spans="1:129" ht="15" customHeight="1" x14ac:dyDescent="0.2">
      <c r="A21" s="226"/>
      <c r="B21" s="208"/>
      <c r="C21" s="208"/>
      <c r="D21" s="208"/>
      <c r="E21" s="208"/>
      <c r="F21" s="208"/>
      <c r="G21" s="208"/>
      <c r="H21" s="208"/>
      <c r="I21" s="208"/>
      <c r="J21" s="208"/>
      <c r="K21" s="208"/>
      <c r="L21" s="208"/>
      <c r="M21" s="208"/>
      <c r="N21" s="208"/>
      <c r="O21" s="208"/>
      <c r="P21" s="208"/>
      <c r="U21" s="209"/>
      <c r="Y21" s="211"/>
      <c r="AB21" s="211"/>
      <c r="AC21" s="211"/>
      <c r="AE21" s="224"/>
      <c r="AF21" s="222"/>
      <c r="AG21" s="225"/>
      <c r="AK21" s="224"/>
      <c r="AL21" s="222"/>
      <c r="AM21" s="225"/>
      <c r="AQ21" s="224"/>
      <c r="AR21" s="222"/>
      <c r="AS21" s="225"/>
      <c r="AW21" s="224"/>
      <c r="AX21" s="222"/>
      <c r="AY21" s="225"/>
      <c r="BC21" s="224"/>
      <c r="BD21" s="222"/>
      <c r="BE21" s="225"/>
      <c r="BI21" s="224"/>
      <c r="BJ21" s="222"/>
      <c r="BK21" s="225"/>
      <c r="BO21" s="224"/>
      <c r="BP21" s="222"/>
      <c r="BQ21" s="225"/>
      <c r="BU21" s="224"/>
      <c r="BV21" s="222"/>
      <c r="BW21" s="225"/>
      <c r="CA21" s="224"/>
      <c r="CB21" s="222"/>
      <c r="CC21" s="225"/>
      <c r="CG21" s="224"/>
      <c r="CH21" s="222"/>
      <c r="CI21" s="225"/>
      <c r="CM21" s="224"/>
      <c r="CN21" s="222"/>
      <c r="CO21" s="225"/>
      <c r="CS21" s="224"/>
      <c r="CT21" s="222"/>
      <c r="CU21" s="225"/>
      <c r="CY21" s="224"/>
      <c r="CZ21" s="222"/>
      <c r="DA21" s="225"/>
      <c r="DE21" s="224"/>
      <c r="DF21" s="222"/>
      <c r="DG21" s="225"/>
      <c r="DK21" s="224"/>
      <c r="DL21" s="222"/>
      <c r="DM21" s="225"/>
      <c r="DQ21" s="224"/>
      <c r="DR21" s="222"/>
      <c r="DS21" s="225"/>
      <c r="DW21" s="224"/>
      <c r="DX21" s="222"/>
      <c r="DY21" s="225"/>
    </row>
    <row r="23" spans="1:129" ht="15" customHeight="1" x14ac:dyDescent="0.2">
      <c r="B23" s="236"/>
    </row>
  </sheetData>
  <sheetProtection algorithmName="SHA-512" hashValue="XoIopCRDssdou88yyX3KhZ+yXDB6vXLdEpAdbjJUAue2BbyNwDd4i/DSwJYngejhmsSHM3xhRxBzjjQV6XQHiA==" saltValue="N50fFgHlAq+WmN/NquTreg==" spinCount="100000" sheet="1" formatCells="0" formatColumns="0" formatRows="0" insertColumns="0" insertRows="0" insertHyperlinks="0" deleteColumns="0" deleteRows="0" sort="0" autoFilter="0" pivotTables="0"/>
  <mergeCells count="19">
    <mergeCell ref="B2:E2"/>
    <mergeCell ref="G2:J2"/>
    <mergeCell ref="L2:O2"/>
    <mergeCell ref="Q2:T2"/>
    <mergeCell ref="B6:E6"/>
    <mergeCell ref="G6:J6"/>
    <mergeCell ref="L6:O6"/>
    <mergeCell ref="Q6:T6"/>
    <mergeCell ref="L18:O18"/>
    <mergeCell ref="B10:E10"/>
    <mergeCell ref="G10:J10"/>
    <mergeCell ref="L10:O10"/>
    <mergeCell ref="Q10:T10"/>
    <mergeCell ref="B14:E14"/>
    <mergeCell ref="G14:J14"/>
    <mergeCell ref="L14:O14"/>
    <mergeCell ref="Q14:T18"/>
    <mergeCell ref="B18:E18"/>
    <mergeCell ref="G18:J18"/>
  </mergeCells>
  <printOptions horizontalCentered="1" verticalCentered="1"/>
  <pageMargins left="0" right="0" top="0" bottom="0" header="0" footer="0"/>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Drop Down 1">
              <controlPr defaultSize="0" autoFill="0" autoLine="0" autoPict="0">
                <anchor moveWithCells="1">
                  <from>
                    <xdr:col>1</xdr:col>
                    <xdr:colOff>0</xdr:colOff>
                    <xdr:row>2</xdr:row>
                    <xdr:rowOff>0</xdr:rowOff>
                  </from>
                  <to>
                    <xdr:col>3</xdr:col>
                    <xdr:colOff>0</xdr:colOff>
                    <xdr:row>3</xdr:row>
                    <xdr:rowOff>0</xdr:rowOff>
                  </to>
                </anchor>
              </controlPr>
            </control>
          </mc:Choice>
        </mc:AlternateContent>
        <mc:AlternateContent xmlns:mc="http://schemas.openxmlformats.org/markup-compatibility/2006">
          <mc:Choice Requires="x14">
            <control shapeId="8194" r:id="rId5" name="Drop Down 2">
              <controlPr defaultSize="0" autoFill="0" autoLine="0" autoPict="0">
                <anchor moveWithCells="1">
                  <from>
                    <xdr:col>1</xdr:col>
                    <xdr:colOff>0</xdr:colOff>
                    <xdr:row>5</xdr:row>
                    <xdr:rowOff>190500</xdr:rowOff>
                  </from>
                  <to>
                    <xdr:col>3</xdr:col>
                    <xdr:colOff>0</xdr:colOff>
                    <xdr:row>7</xdr:row>
                    <xdr:rowOff>0</xdr:rowOff>
                  </to>
                </anchor>
              </controlPr>
            </control>
          </mc:Choice>
        </mc:AlternateContent>
        <mc:AlternateContent xmlns:mc="http://schemas.openxmlformats.org/markup-compatibility/2006">
          <mc:Choice Requires="x14">
            <control shapeId="8195" r:id="rId6" name="Drop Down 3">
              <controlPr defaultSize="0" autoFill="0" autoLine="0" autoPict="0">
                <anchor moveWithCells="1">
                  <from>
                    <xdr:col>1</xdr:col>
                    <xdr:colOff>0</xdr:colOff>
                    <xdr:row>9</xdr:row>
                    <xdr:rowOff>190500</xdr:rowOff>
                  </from>
                  <to>
                    <xdr:col>3</xdr:col>
                    <xdr:colOff>0</xdr:colOff>
                    <xdr:row>10</xdr:row>
                    <xdr:rowOff>190500</xdr:rowOff>
                  </to>
                </anchor>
              </controlPr>
            </control>
          </mc:Choice>
        </mc:AlternateContent>
        <mc:AlternateContent xmlns:mc="http://schemas.openxmlformats.org/markup-compatibility/2006">
          <mc:Choice Requires="x14">
            <control shapeId="8196" r:id="rId7" name="Drop Down 4">
              <controlPr defaultSize="0" autoFill="0" autoLine="0" autoPict="0">
                <anchor moveWithCells="1">
                  <from>
                    <xdr:col>1</xdr:col>
                    <xdr:colOff>0</xdr:colOff>
                    <xdr:row>14</xdr:row>
                    <xdr:rowOff>0</xdr:rowOff>
                  </from>
                  <to>
                    <xdr:col>3</xdr:col>
                    <xdr:colOff>0</xdr:colOff>
                    <xdr:row>15</xdr:row>
                    <xdr:rowOff>0</xdr:rowOff>
                  </to>
                </anchor>
              </controlPr>
            </control>
          </mc:Choice>
        </mc:AlternateContent>
        <mc:AlternateContent xmlns:mc="http://schemas.openxmlformats.org/markup-compatibility/2006">
          <mc:Choice Requires="x14">
            <control shapeId="8197" r:id="rId8" name="Drop Down 5">
              <controlPr defaultSize="0" autoFill="0" autoLine="0" autoPict="0">
                <anchor moveWithCells="1">
                  <from>
                    <xdr:col>1</xdr:col>
                    <xdr:colOff>0</xdr:colOff>
                    <xdr:row>18</xdr:row>
                    <xdr:rowOff>0</xdr:rowOff>
                  </from>
                  <to>
                    <xdr:col>3</xdr:col>
                    <xdr:colOff>0</xdr:colOff>
                    <xdr:row>19</xdr:row>
                    <xdr:rowOff>0</xdr:rowOff>
                  </to>
                </anchor>
              </controlPr>
            </control>
          </mc:Choice>
        </mc:AlternateContent>
        <mc:AlternateContent xmlns:mc="http://schemas.openxmlformats.org/markup-compatibility/2006">
          <mc:Choice Requires="x14">
            <control shapeId="8198" r:id="rId9" name="Drop Down 6">
              <controlPr defaultSize="0" autoFill="0" autoLine="0" autoPict="0">
                <anchor moveWithCells="1">
                  <from>
                    <xdr:col>6</xdr:col>
                    <xdr:colOff>0</xdr:colOff>
                    <xdr:row>1</xdr:row>
                    <xdr:rowOff>190500</xdr:rowOff>
                  </from>
                  <to>
                    <xdr:col>8</xdr:col>
                    <xdr:colOff>0</xdr:colOff>
                    <xdr:row>3</xdr:row>
                    <xdr:rowOff>0</xdr:rowOff>
                  </to>
                </anchor>
              </controlPr>
            </control>
          </mc:Choice>
        </mc:AlternateContent>
        <mc:AlternateContent xmlns:mc="http://schemas.openxmlformats.org/markup-compatibility/2006">
          <mc:Choice Requires="x14">
            <control shapeId="8199" r:id="rId10" name="Drop Down 7">
              <controlPr defaultSize="0" autoFill="0" autoLine="0" autoPict="0">
                <anchor moveWithCells="1">
                  <from>
                    <xdr:col>6</xdr:col>
                    <xdr:colOff>0</xdr:colOff>
                    <xdr:row>5</xdr:row>
                    <xdr:rowOff>190500</xdr:rowOff>
                  </from>
                  <to>
                    <xdr:col>8</xdr:col>
                    <xdr:colOff>0</xdr:colOff>
                    <xdr:row>7</xdr:row>
                    <xdr:rowOff>0</xdr:rowOff>
                  </to>
                </anchor>
              </controlPr>
            </control>
          </mc:Choice>
        </mc:AlternateContent>
        <mc:AlternateContent xmlns:mc="http://schemas.openxmlformats.org/markup-compatibility/2006">
          <mc:Choice Requires="x14">
            <control shapeId="8200" r:id="rId11" name="Drop Down 8">
              <controlPr defaultSize="0" autoFill="0" autoLine="0" autoPict="0">
                <anchor moveWithCells="1">
                  <from>
                    <xdr:col>6</xdr:col>
                    <xdr:colOff>0</xdr:colOff>
                    <xdr:row>10</xdr:row>
                    <xdr:rowOff>0</xdr:rowOff>
                  </from>
                  <to>
                    <xdr:col>8</xdr:col>
                    <xdr:colOff>0</xdr:colOff>
                    <xdr:row>10</xdr:row>
                    <xdr:rowOff>190500</xdr:rowOff>
                  </to>
                </anchor>
              </controlPr>
            </control>
          </mc:Choice>
        </mc:AlternateContent>
        <mc:AlternateContent xmlns:mc="http://schemas.openxmlformats.org/markup-compatibility/2006">
          <mc:Choice Requires="x14">
            <control shapeId="8201" r:id="rId12" name="Drop Down 9">
              <controlPr defaultSize="0" autoFill="0" autoLine="0" autoPict="0">
                <anchor moveWithCells="1">
                  <from>
                    <xdr:col>6</xdr:col>
                    <xdr:colOff>0</xdr:colOff>
                    <xdr:row>17</xdr:row>
                    <xdr:rowOff>190500</xdr:rowOff>
                  </from>
                  <to>
                    <xdr:col>8</xdr:col>
                    <xdr:colOff>0</xdr:colOff>
                    <xdr:row>19</xdr:row>
                    <xdr:rowOff>0</xdr:rowOff>
                  </to>
                </anchor>
              </controlPr>
            </control>
          </mc:Choice>
        </mc:AlternateContent>
        <mc:AlternateContent xmlns:mc="http://schemas.openxmlformats.org/markup-compatibility/2006">
          <mc:Choice Requires="x14">
            <control shapeId="8202" r:id="rId13" name="Drop Down 10">
              <controlPr defaultSize="0" autoFill="0" autoLine="0" autoPict="0">
                <anchor moveWithCells="1">
                  <from>
                    <xdr:col>6</xdr:col>
                    <xdr:colOff>0</xdr:colOff>
                    <xdr:row>14</xdr:row>
                    <xdr:rowOff>0</xdr:rowOff>
                  </from>
                  <to>
                    <xdr:col>8</xdr:col>
                    <xdr:colOff>0</xdr:colOff>
                    <xdr:row>15</xdr:row>
                    <xdr:rowOff>0</xdr:rowOff>
                  </to>
                </anchor>
              </controlPr>
            </control>
          </mc:Choice>
        </mc:AlternateContent>
        <mc:AlternateContent xmlns:mc="http://schemas.openxmlformats.org/markup-compatibility/2006">
          <mc:Choice Requires="x14">
            <control shapeId="8203" r:id="rId14" name="Drop Down 11">
              <controlPr defaultSize="0" autoFill="0" autoLine="0" autoPict="0">
                <anchor moveWithCells="1">
                  <from>
                    <xdr:col>11</xdr:col>
                    <xdr:colOff>0</xdr:colOff>
                    <xdr:row>2</xdr:row>
                    <xdr:rowOff>0</xdr:rowOff>
                  </from>
                  <to>
                    <xdr:col>12</xdr:col>
                    <xdr:colOff>609600</xdr:colOff>
                    <xdr:row>2</xdr:row>
                    <xdr:rowOff>180975</xdr:rowOff>
                  </to>
                </anchor>
              </controlPr>
            </control>
          </mc:Choice>
        </mc:AlternateContent>
        <mc:AlternateContent xmlns:mc="http://schemas.openxmlformats.org/markup-compatibility/2006">
          <mc:Choice Requires="x14">
            <control shapeId="8204" r:id="rId15" name="Drop Down 12">
              <controlPr defaultSize="0" autoFill="0" autoLine="0" autoPict="0">
                <anchor moveWithCells="1">
                  <from>
                    <xdr:col>11</xdr:col>
                    <xdr:colOff>0</xdr:colOff>
                    <xdr:row>2</xdr:row>
                    <xdr:rowOff>0</xdr:rowOff>
                  </from>
                  <to>
                    <xdr:col>13</xdr:col>
                    <xdr:colOff>0</xdr:colOff>
                    <xdr:row>3</xdr:row>
                    <xdr:rowOff>0</xdr:rowOff>
                  </to>
                </anchor>
              </controlPr>
            </control>
          </mc:Choice>
        </mc:AlternateContent>
        <mc:AlternateContent xmlns:mc="http://schemas.openxmlformats.org/markup-compatibility/2006">
          <mc:Choice Requires="x14">
            <control shapeId="8205" r:id="rId16" name="Drop Down 13">
              <controlPr defaultSize="0" autoFill="0" autoLine="0" autoPict="0">
                <anchor moveWithCells="1">
                  <from>
                    <xdr:col>16</xdr:col>
                    <xdr:colOff>0</xdr:colOff>
                    <xdr:row>6</xdr:row>
                    <xdr:rowOff>0</xdr:rowOff>
                  </from>
                  <to>
                    <xdr:col>18</xdr:col>
                    <xdr:colOff>0</xdr:colOff>
                    <xdr:row>7</xdr:row>
                    <xdr:rowOff>0</xdr:rowOff>
                  </to>
                </anchor>
              </controlPr>
            </control>
          </mc:Choice>
        </mc:AlternateContent>
        <mc:AlternateContent xmlns:mc="http://schemas.openxmlformats.org/markup-compatibility/2006">
          <mc:Choice Requires="x14">
            <control shapeId="8206" r:id="rId17" name="Drop Down 14">
              <controlPr defaultSize="0" autoFill="0" autoLine="0" autoPict="0">
                <anchor moveWithCells="1">
                  <from>
                    <xdr:col>16</xdr:col>
                    <xdr:colOff>0</xdr:colOff>
                    <xdr:row>9</xdr:row>
                    <xdr:rowOff>190500</xdr:rowOff>
                  </from>
                  <to>
                    <xdr:col>18</xdr:col>
                    <xdr:colOff>0</xdr:colOff>
                    <xdr:row>10</xdr:row>
                    <xdr:rowOff>190500</xdr:rowOff>
                  </to>
                </anchor>
              </controlPr>
            </control>
          </mc:Choice>
        </mc:AlternateContent>
        <mc:AlternateContent xmlns:mc="http://schemas.openxmlformats.org/markup-compatibility/2006">
          <mc:Choice Requires="x14">
            <control shapeId="8207" r:id="rId18" name="Drop Down 15">
              <controlPr defaultSize="0" autoFill="0" autoLine="0" autoPict="0">
                <anchor moveWithCells="1">
                  <from>
                    <xdr:col>1</xdr:col>
                    <xdr:colOff>0</xdr:colOff>
                    <xdr:row>3</xdr:row>
                    <xdr:rowOff>0</xdr:rowOff>
                  </from>
                  <to>
                    <xdr:col>3</xdr:col>
                    <xdr:colOff>0</xdr:colOff>
                    <xdr:row>4</xdr:row>
                    <xdr:rowOff>0</xdr:rowOff>
                  </to>
                </anchor>
              </controlPr>
            </control>
          </mc:Choice>
        </mc:AlternateContent>
        <mc:AlternateContent xmlns:mc="http://schemas.openxmlformats.org/markup-compatibility/2006">
          <mc:Choice Requires="x14">
            <control shapeId="8208" r:id="rId19" name="Drop Down 16">
              <controlPr defaultSize="0" autoFill="0" autoLine="0" autoPict="0">
                <anchor moveWithCells="1">
                  <from>
                    <xdr:col>1</xdr:col>
                    <xdr:colOff>0</xdr:colOff>
                    <xdr:row>6</xdr:row>
                    <xdr:rowOff>190500</xdr:rowOff>
                  </from>
                  <to>
                    <xdr:col>3</xdr:col>
                    <xdr:colOff>0</xdr:colOff>
                    <xdr:row>8</xdr:row>
                    <xdr:rowOff>0</xdr:rowOff>
                  </to>
                </anchor>
              </controlPr>
            </control>
          </mc:Choice>
        </mc:AlternateContent>
        <mc:AlternateContent xmlns:mc="http://schemas.openxmlformats.org/markup-compatibility/2006">
          <mc:Choice Requires="x14">
            <control shapeId="8209" r:id="rId20" name="Drop Down 17">
              <controlPr defaultSize="0" autoFill="0" autoLine="0" autoPict="0">
                <anchor moveWithCells="1">
                  <from>
                    <xdr:col>1</xdr:col>
                    <xdr:colOff>0</xdr:colOff>
                    <xdr:row>11</xdr:row>
                    <xdr:rowOff>0</xdr:rowOff>
                  </from>
                  <to>
                    <xdr:col>3</xdr:col>
                    <xdr:colOff>0</xdr:colOff>
                    <xdr:row>12</xdr:row>
                    <xdr:rowOff>0</xdr:rowOff>
                  </to>
                </anchor>
              </controlPr>
            </control>
          </mc:Choice>
        </mc:AlternateContent>
        <mc:AlternateContent xmlns:mc="http://schemas.openxmlformats.org/markup-compatibility/2006">
          <mc:Choice Requires="x14">
            <control shapeId="8210" r:id="rId21" name="Drop Down 18">
              <controlPr defaultSize="0" autoFill="0" autoLine="0" autoPict="0">
                <anchor moveWithCells="1">
                  <from>
                    <xdr:col>1</xdr:col>
                    <xdr:colOff>0</xdr:colOff>
                    <xdr:row>14</xdr:row>
                    <xdr:rowOff>190500</xdr:rowOff>
                  </from>
                  <to>
                    <xdr:col>3</xdr:col>
                    <xdr:colOff>0</xdr:colOff>
                    <xdr:row>15</xdr:row>
                    <xdr:rowOff>190500</xdr:rowOff>
                  </to>
                </anchor>
              </controlPr>
            </control>
          </mc:Choice>
        </mc:AlternateContent>
        <mc:AlternateContent xmlns:mc="http://schemas.openxmlformats.org/markup-compatibility/2006">
          <mc:Choice Requires="x14">
            <control shapeId="8211" r:id="rId22" name="Drop Down 19">
              <controlPr defaultSize="0" autoFill="0" autoLine="0" autoPict="0">
                <anchor moveWithCells="1">
                  <from>
                    <xdr:col>1</xdr:col>
                    <xdr:colOff>0</xdr:colOff>
                    <xdr:row>19</xdr:row>
                    <xdr:rowOff>0</xdr:rowOff>
                  </from>
                  <to>
                    <xdr:col>3</xdr:col>
                    <xdr:colOff>0</xdr:colOff>
                    <xdr:row>20</xdr:row>
                    <xdr:rowOff>0</xdr:rowOff>
                  </to>
                </anchor>
              </controlPr>
            </control>
          </mc:Choice>
        </mc:AlternateContent>
        <mc:AlternateContent xmlns:mc="http://schemas.openxmlformats.org/markup-compatibility/2006">
          <mc:Choice Requires="x14">
            <control shapeId="8212" r:id="rId23" name="Drop Down 20">
              <controlPr defaultSize="0" autoFill="0" autoLine="0" autoPict="0">
                <anchor moveWithCells="1">
                  <from>
                    <xdr:col>6</xdr:col>
                    <xdr:colOff>0</xdr:colOff>
                    <xdr:row>2</xdr:row>
                    <xdr:rowOff>190500</xdr:rowOff>
                  </from>
                  <to>
                    <xdr:col>8</xdr:col>
                    <xdr:colOff>0</xdr:colOff>
                    <xdr:row>4</xdr:row>
                    <xdr:rowOff>0</xdr:rowOff>
                  </to>
                </anchor>
              </controlPr>
            </control>
          </mc:Choice>
        </mc:AlternateContent>
        <mc:AlternateContent xmlns:mc="http://schemas.openxmlformats.org/markup-compatibility/2006">
          <mc:Choice Requires="x14">
            <control shapeId="8213" r:id="rId24" name="Drop Down 21">
              <controlPr defaultSize="0" autoFill="0" autoLine="0" autoPict="0">
                <anchor moveWithCells="1">
                  <from>
                    <xdr:col>6</xdr:col>
                    <xdr:colOff>0</xdr:colOff>
                    <xdr:row>7</xdr:row>
                    <xdr:rowOff>0</xdr:rowOff>
                  </from>
                  <to>
                    <xdr:col>8</xdr:col>
                    <xdr:colOff>0</xdr:colOff>
                    <xdr:row>8</xdr:row>
                    <xdr:rowOff>0</xdr:rowOff>
                  </to>
                </anchor>
              </controlPr>
            </control>
          </mc:Choice>
        </mc:AlternateContent>
        <mc:AlternateContent xmlns:mc="http://schemas.openxmlformats.org/markup-compatibility/2006">
          <mc:Choice Requires="x14">
            <control shapeId="8214" r:id="rId25" name="Drop Down 22">
              <controlPr defaultSize="0" autoFill="0" autoLine="0" autoPict="0">
                <anchor moveWithCells="1">
                  <from>
                    <xdr:col>6</xdr:col>
                    <xdr:colOff>0</xdr:colOff>
                    <xdr:row>10</xdr:row>
                    <xdr:rowOff>190500</xdr:rowOff>
                  </from>
                  <to>
                    <xdr:col>8</xdr:col>
                    <xdr:colOff>0</xdr:colOff>
                    <xdr:row>12</xdr:row>
                    <xdr:rowOff>0</xdr:rowOff>
                  </to>
                </anchor>
              </controlPr>
            </control>
          </mc:Choice>
        </mc:AlternateContent>
        <mc:AlternateContent xmlns:mc="http://schemas.openxmlformats.org/markup-compatibility/2006">
          <mc:Choice Requires="x14">
            <control shapeId="8215" r:id="rId26" name="Drop Down 23">
              <controlPr defaultSize="0" autoFill="0" autoLine="0" autoPict="0">
                <anchor moveWithCells="1">
                  <from>
                    <xdr:col>6</xdr:col>
                    <xdr:colOff>0</xdr:colOff>
                    <xdr:row>18</xdr:row>
                    <xdr:rowOff>190500</xdr:rowOff>
                  </from>
                  <to>
                    <xdr:col>8</xdr:col>
                    <xdr:colOff>0</xdr:colOff>
                    <xdr:row>20</xdr:row>
                    <xdr:rowOff>0</xdr:rowOff>
                  </to>
                </anchor>
              </controlPr>
            </control>
          </mc:Choice>
        </mc:AlternateContent>
        <mc:AlternateContent xmlns:mc="http://schemas.openxmlformats.org/markup-compatibility/2006">
          <mc:Choice Requires="x14">
            <control shapeId="8216" r:id="rId27" name="Drop Down 24">
              <controlPr defaultSize="0" autoFill="0" autoLine="0" autoPict="0">
                <anchor moveWithCells="1">
                  <from>
                    <xdr:col>6</xdr:col>
                    <xdr:colOff>0</xdr:colOff>
                    <xdr:row>15</xdr:row>
                    <xdr:rowOff>0</xdr:rowOff>
                  </from>
                  <to>
                    <xdr:col>8</xdr:col>
                    <xdr:colOff>0</xdr:colOff>
                    <xdr:row>15</xdr:row>
                    <xdr:rowOff>190500</xdr:rowOff>
                  </to>
                </anchor>
              </controlPr>
            </control>
          </mc:Choice>
        </mc:AlternateContent>
        <mc:AlternateContent xmlns:mc="http://schemas.openxmlformats.org/markup-compatibility/2006">
          <mc:Choice Requires="x14">
            <control shapeId="8217" r:id="rId28" name="Drop Down 25">
              <controlPr defaultSize="0" autoFill="0" autoLine="0" autoPict="0">
                <anchor moveWithCells="1">
                  <from>
                    <xdr:col>11</xdr:col>
                    <xdr:colOff>0</xdr:colOff>
                    <xdr:row>3</xdr:row>
                    <xdr:rowOff>0</xdr:rowOff>
                  </from>
                  <to>
                    <xdr:col>13</xdr:col>
                    <xdr:colOff>0</xdr:colOff>
                    <xdr:row>4</xdr:row>
                    <xdr:rowOff>0</xdr:rowOff>
                  </to>
                </anchor>
              </controlPr>
            </control>
          </mc:Choice>
        </mc:AlternateContent>
        <mc:AlternateContent xmlns:mc="http://schemas.openxmlformats.org/markup-compatibility/2006">
          <mc:Choice Requires="x14">
            <control shapeId="8218" r:id="rId29" name="Drop Down 26">
              <controlPr defaultSize="0" autoFill="0" autoLine="0" autoPict="0">
                <anchor moveWithCells="1">
                  <from>
                    <xdr:col>11</xdr:col>
                    <xdr:colOff>0</xdr:colOff>
                    <xdr:row>7</xdr:row>
                    <xdr:rowOff>0</xdr:rowOff>
                  </from>
                  <to>
                    <xdr:col>13</xdr:col>
                    <xdr:colOff>0</xdr:colOff>
                    <xdr:row>8</xdr:row>
                    <xdr:rowOff>0</xdr:rowOff>
                  </to>
                </anchor>
              </controlPr>
            </control>
          </mc:Choice>
        </mc:AlternateContent>
        <mc:AlternateContent xmlns:mc="http://schemas.openxmlformats.org/markup-compatibility/2006">
          <mc:Choice Requires="x14">
            <control shapeId="8219" r:id="rId30" name="Drop Down 27">
              <controlPr defaultSize="0" autoFill="0" autoLine="0" autoPict="0">
                <anchor moveWithCells="1">
                  <from>
                    <xdr:col>11</xdr:col>
                    <xdr:colOff>0</xdr:colOff>
                    <xdr:row>10</xdr:row>
                    <xdr:rowOff>190500</xdr:rowOff>
                  </from>
                  <to>
                    <xdr:col>13</xdr:col>
                    <xdr:colOff>0</xdr:colOff>
                    <xdr:row>12</xdr:row>
                    <xdr:rowOff>0</xdr:rowOff>
                  </to>
                </anchor>
              </controlPr>
            </control>
          </mc:Choice>
        </mc:AlternateContent>
        <mc:AlternateContent xmlns:mc="http://schemas.openxmlformats.org/markup-compatibility/2006">
          <mc:Choice Requires="x14">
            <control shapeId="8220" r:id="rId31" name="Drop Down 28">
              <controlPr defaultSize="0" autoFill="0" autoLine="0" autoPict="0">
                <anchor moveWithCells="1">
                  <from>
                    <xdr:col>11</xdr:col>
                    <xdr:colOff>0</xdr:colOff>
                    <xdr:row>14</xdr:row>
                    <xdr:rowOff>190500</xdr:rowOff>
                  </from>
                  <to>
                    <xdr:col>13</xdr:col>
                    <xdr:colOff>0</xdr:colOff>
                    <xdr:row>15</xdr:row>
                    <xdr:rowOff>190500</xdr:rowOff>
                  </to>
                </anchor>
              </controlPr>
            </control>
          </mc:Choice>
        </mc:AlternateContent>
        <mc:AlternateContent xmlns:mc="http://schemas.openxmlformats.org/markup-compatibility/2006">
          <mc:Choice Requires="x14">
            <control shapeId="8221" r:id="rId32" name="Drop Down 29">
              <controlPr defaultSize="0" autoFill="0" autoLine="0" autoPict="0">
                <anchor moveWithCells="1">
                  <from>
                    <xdr:col>11</xdr:col>
                    <xdr:colOff>0</xdr:colOff>
                    <xdr:row>18</xdr:row>
                    <xdr:rowOff>190500</xdr:rowOff>
                  </from>
                  <to>
                    <xdr:col>13</xdr:col>
                    <xdr:colOff>0</xdr:colOff>
                    <xdr:row>20</xdr:row>
                    <xdr:rowOff>0</xdr:rowOff>
                  </to>
                </anchor>
              </controlPr>
            </control>
          </mc:Choice>
        </mc:AlternateContent>
        <mc:AlternateContent xmlns:mc="http://schemas.openxmlformats.org/markup-compatibility/2006">
          <mc:Choice Requires="x14">
            <control shapeId="8222" r:id="rId33" name="Drop Down 30">
              <controlPr defaultSize="0" autoFill="0" autoLine="0" autoPict="0">
                <anchor moveWithCells="1">
                  <from>
                    <xdr:col>16</xdr:col>
                    <xdr:colOff>0</xdr:colOff>
                    <xdr:row>7</xdr:row>
                    <xdr:rowOff>0</xdr:rowOff>
                  </from>
                  <to>
                    <xdr:col>18</xdr:col>
                    <xdr:colOff>0</xdr:colOff>
                    <xdr:row>8</xdr:row>
                    <xdr:rowOff>0</xdr:rowOff>
                  </to>
                </anchor>
              </controlPr>
            </control>
          </mc:Choice>
        </mc:AlternateContent>
        <mc:AlternateContent xmlns:mc="http://schemas.openxmlformats.org/markup-compatibility/2006">
          <mc:Choice Requires="x14">
            <control shapeId="8223" r:id="rId34" name="Drop Down 31">
              <controlPr defaultSize="0" autoFill="0" autoLine="0" autoPict="0">
                <anchor moveWithCells="1">
                  <from>
                    <xdr:col>16</xdr:col>
                    <xdr:colOff>0</xdr:colOff>
                    <xdr:row>10</xdr:row>
                    <xdr:rowOff>190500</xdr:rowOff>
                  </from>
                  <to>
                    <xdr:col>18</xdr:col>
                    <xdr:colOff>0</xdr:colOff>
                    <xdr:row>12</xdr:row>
                    <xdr:rowOff>0</xdr:rowOff>
                  </to>
                </anchor>
              </controlPr>
            </control>
          </mc:Choice>
        </mc:AlternateContent>
        <mc:AlternateContent xmlns:mc="http://schemas.openxmlformats.org/markup-compatibility/2006">
          <mc:Choice Requires="x14">
            <control shapeId="8224" r:id="rId35" name="Drop Down 32">
              <controlPr defaultSize="0" autoFill="0" autoLine="0" autoPict="0">
                <anchor moveWithCells="1">
                  <from>
                    <xdr:col>11</xdr:col>
                    <xdr:colOff>0</xdr:colOff>
                    <xdr:row>6</xdr:row>
                    <xdr:rowOff>0</xdr:rowOff>
                  </from>
                  <to>
                    <xdr:col>13</xdr:col>
                    <xdr:colOff>0</xdr:colOff>
                    <xdr:row>7</xdr:row>
                    <xdr:rowOff>0</xdr:rowOff>
                  </to>
                </anchor>
              </controlPr>
            </control>
          </mc:Choice>
        </mc:AlternateContent>
        <mc:AlternateContent xmlns:mc="http://schemas.openxmlformats.org/markup-compatibility/2006">
          <mc:Choice Requires="x14">
            <control shapeId="8225" r:id="rId36" name="Drop Down 33">
              <controlPr defaultSize="0" autoFill="0" autoLine="0" autoPict="0">
                <anchor moveWithCells="1">
                  <from>
                    <xdr:col>11</xdr:col>
                    <xdr:colOff>0</xdr:colOff>
                    <xdr:row>9</xdr:row>
                    <xdr:rowOff>190500</xdr:rowOff>
                  </from>
                  <to>
                    <xdr:col>13</xdr:col>
                    <xdr:colOff>0</xdr:colOff>
                    <xdr:row>10</xdr:row>
                    <xdr:rowOff>190500</xdr:rowOff>
                  </to>
                </anchor>
              </controlPr>
            </control>
          </mc:Choice>
        </mc:AlternateContent>
        <mc:AlternateContent xmlns:mc="http://schemas.openxmlformats.org/markup-compatibility/2006">
          <mc:Choice Requires="x14">
            <control shapeId="8226" r:id="rId37" name="Drop Down 34">
              <controlPr defaultSize="0" autoFill="0" autoLine="0" autoPict="0">
                <anchor moveWithCells="1">
                  <from>
                    <xdr:col>11</xdr:col>
                    <xdr:colOff>0</xdr:colOff>
                    <xdr:row>14</xdr:row>
                    <xdr:rowOff>0</xdr:rowOff>
                  </from>
                  <to>
                    <xdr:col>13</xdr:col>
                    <xdr:colOff>0</xdr:colOff>
                    <xdr:row>15</xdr:row>
                    <xdr:rowOff>0</xdr:rowOff>
                  </to>
                </anchor>
              </controlPr>
            </control>
          </mc:Choice>
        </mc:AlternateContent>
        <mc:AlternateContent xmlns:mc="http://schemas.openxmlformats.org/markup-compatibility/2006">
          <mc:Choice Requires="x14">
            <control shapeId="8227" r:id="rId38" name="Drop Down 35">
              <controlPr defaultSize="0" autoFill="0" autoLine="0" autoPict="0">
                <anchor moveWithCells="1">
                  <from>
                    <xdr:col>11</xdr:col>
                    <xdr:colOff>0</xdr:colOff>
                    <xdr:row>18</xdr:row>
                    <xdr:rowOff>0</xdr:rowOff>
                  </from>
                  <to>
                    <xdr:col>13</xdr:col>
                    <xdr:colOff>0</xdr:colOff>
                    <xdr:row>19</xdr:row>
                    <xdr:rowOff>0</xdr:rowOff>
                  </to>
                </anchor>
              </controlPr>
            </control>
          </mc:Choice>
        </mc:AlternateContent>
        <mc:AlternateContent xmlns:mc="http://schemas.openxmlformats.org/markup-compatibility/2006">
          <mc:Choice Requires="x14">
            <control shapeId="8228" r:id="rId39" name="Drop Down 36">
              <controlPr defaultSize="0" autoFill="0" autoLine="0" autoPict="0">
                <anchor moveWithCells="1">
                  <from>
                    <xdr:col>16</xdr:col>
                    <xdr:colOff>0</xdr:colOff>
                    <xdr:row>2</xdr:row>
                    <xdr:rowOff>190500</xdr:rowOff>
                  </from>
                  <to>
                    <xdr:col>18</xdr:col>
                    <xdr:colOff>0</xdr:colOff>
                    <xdr:row>4</xdr:row>
                    <xdr:rowOff>0</xdr:rowOff>
                  </to>
                </anchor>
              </controlPr>
            </control>
          </mc:Choice>
        </mc:AlternateContent>
        <mc:AlternateContent xmlns:mc="http://schemas.openxmlformats.org/markup-compatibility/2006">
          <mc:Choice Requires="x14">
            <control shapeId="8229" r:id="rId40" name="Drop Down 37">
              <controlPr defaultSize="0" autoFill="0" autoLine="0" autoPict="0">
                <anchor moveWithCells="1">
                  <from>
                    <xdr:col>16</xdr:col>
                    <xdr:colOff>0</xdr:colOff>
                    <xdr:row>1</xdr:row>
                    <xdr:rowOff>190500</xdr:rowOff>
                  </from>
                  <to>
                    <xdr:col>18</xdr:col>
                    <xdr:colOff>0</xdr:colOff>
                    <xdr:row>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لوحة الإدخال الرئيسية</vt:lpstr>
      <vt:lpstr>حساب قطر الأنابيب</vt:lpstr>
      <vt:lpstr>ضياعات الاحتكاك الطولية</vt:lpstr>
      <vt:lpstr>ضياعات الاحتكاك المحلية</vt:lpstr>
      <vt:lpstr>حسابات الضخ</vt:lpstr>
      <vt:lpstr>نقطة العمل</vt:lpstr>
      <vt:lpstr>حساب NPSHa</vt:lpstr>
      <vt:lpstr>حساب مقطع الكابل</vt:lpstr>
      <vt:lpstr>محول الواحدات</vt:lpstr>
      <vt:lpstr>كلفة التشغيل الشهرية</vt:lpstr>
      <vt:lpstr>دراسة الجدوى</vt:lpstr>
      <vt:lpstr>حساب التيار</vt:lpstr>
      <vt:lpstr>الطاقة الشمسية</vt:lpstr>
      <vt:lpstr>حسابات الجباية</vt:lpstr>
      <vt:lpstr>تنفيذ الشبكات</vt:lpstr>
      <vt:lpstr>'حساب مقطع الكابل'!Print_Area</vt:lpstr>
      <vt:lpstr>'حسابات الجباية'!Print_Area</vt:lpstr>
      <vt:lpstr>'ضياعات الاحتكاك المحلية'!Print_Area</vt:lpstr>
      <vt:lpstr>'محول الواحدات'!Print_Area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2020-12-12T21:15:59Z</dcterms:modified>
</cp:coreProperties>
</file>